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showInkAnnotation="0" codeName="ThisWorkbook" defaultThemeVersion="124226"/>
  <xr:revisionPtr revIDLastSave="0" documentId="13_ncr:1_{1B231AC2-F335-458F-B242-5434F5588BDD}" xr6:coauthVersionLast="47" xr6:coauthVersionMax="47" xr10:uidLastSave="{00000000-0000-0000-0000-000000000000}"/>
  <bookViews>
    <workbookView xWindow="-120" yWindow="-120" windowWidth="20730" windowHeight="11040" tabRatio="771" xr2:uid="{00000000-000D-0000-FFFF-FFFF00000000}"/>
  </bookViews>
  <sheets>
    <sheet name="ESTIMATE" sheetId="29" r:id="rId1"/>
    <sheet name="UJ" sheetId="13" state="hidden" r:id="rId2"/>
    <sheet name="DETAIL (2)" sheetId="12" state="hidden" r:id="rId3"/>
  </sheets>
  <definedNames>
    <definedName name="_xlnm._FilterDatabase" localSheetId="0" hidden="1">ESTIMATE!$D$100:$D$265</definedName>
    <definedName name="_xlnm.Print_Area" localSheetId="2">'DETAIL (2)'!$A$1:$F$20</definedName>
    <definedName name="_xlnm.Print_Area" localSheetId="0">ESTIMATE!$A$1:$Q$405</definedName>
    <definedName name="_xlnm.Print_Area" localSheetId="1">UJ!$A$1:$I$31</definedName>
    <definedName name="_xlnm.Print_Titles" localSheetId="2">'DETAIL (2)'!$1:$7</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98" i="29" l="1"/>
  <c r="L398" i="29"/>
  <c r="N395" i="29"/>
  <c r="J395" i="29"/>
  <c r="L395" i="29" s="1"/>
  <c r="N394" i="29"/>
  <c r="J394" i="29"/>
  <c r="L394" i="29" s="1"/>
  <c r="N393" i="29"/>
  <c r="J393" i="29"/>
  <c r="L393" i="29" s="1"/>
  <c r="O393" i="29" s="1"/>
  <c r="N389" i="29"/>
  <c r="J389" i="29"/>
  <c r="L389" i="29" s="1"/>
  <c r="O389" i="29" s="1"/>
  <c r="N388" i="29"/>
  <c r="J388" i="29"/>
  <c r="L388" i="29" s="1"/>
  <c r="N387" i="29"/>
  <c r="J387" i="29"/>
  <c r="L387" i="29" s="1"/>
  <c r="O387" i="29" s="1"/>
  <c r="N386" i="29"/>
  <c r="J386" i="29"/>
  <c r="L386" i="29" s="1"/>
  <c r="O386" i="29" s="1"/>
  <c r="N385" i="29"/>
  <c r="J385" i="29"/>
  <c r="L385" i="29" s="1"/>
  <c r="O385" i="29" s="1"/>
  <c r="N381" i="29"/>
  <c r="J381" i="29"/>
  <c r="L381" i="29" s="1"/>
  <c r="N380" i="29"/>
  <c r="J380" i="29"/>
  <c r="L380" i="29" s="1"/>
  <c r="O380" i="29" s="1"/>
  <c r="N379" i="29"/>
  <c r="J379" i="29"/>
  <c r="L379" i="29" s="1"/>
  <c r="O379" i="29" s="1"/>
  <c r="N378" i="29"/>
  <c r="J378" i="29"/>
  <c r="L378" i="29" s="1"/>
  <c r="O378" i="29" s="1"/>
  <c r="N377" i="29"/>
  <c r="J377" i="29"/>
  <c r="L377" i="29" s="1"/>
  <c r="O377" i="29" s="1"/>
  <c r="N373" i="29"/>
  <c r="J373" i="29"/>
  <c r="L373" i="29" s="1"/>
  <c r="O373" i="29" s="1"/>
  <c r="N372" i="29"/>
  <c r="J372" i="29"/>
  <c r="L372" i="29" s="1"/>
  <c r="N371" i="29"/>
  <c r="J371" i="29"/>
  <c r="L371" i="29" s="1"/>
  <c r="O371" i="29" s="1"/>
  <c r="N370" i="29"/>
  <c r="J370" i="29"/>
  <c r="L370" i="29" s="1"/>
  <c r="O370" i="29" s="1"/>
  <c r="N369" i="29"/>
  <c r="J369" i="29"/>
  <c r="L369" i="29" s="1"/>
  <c r="O369" i="29" s="1"/>
  <c r="N365" i="29"/>
  <c r="J365" i="29"/>
  <c r="L365" i="29" s="1"/>
  <c r="N364" i="29"/>
  <c r="J364" i="29"/>
  <c r="L364" i="29" s="1"/>
  <c r="O364" i="29" s="1"/>
  <c r="N363" i="29"/>
  <c r="J363" i="29"/>
  <c r="L363" i="29" s="1"/>
  <c r="O363" i="29" s="1"/>
  <c r="N362" i="29"/>
  <c r="J362" i="29"/>
  <c r="L362" i="29" s="1"/>
  <c r="O362" i="29" s="1"/>
  <c r="N361" i="29"/>
  <c r="J361" i="29"/>
  <c r="L361" i="29" s="1"/>
  <c r="O361" i="29" s="1"/>
  <c r="N357" i="29"/>
  <c r="J357" i="29"/>
  <c r="L357" i="29" s="1"/>
  <c r="O357" i="29" s="1"/>
  <c r="N356" i="29"/>
  <c r="J356" i="29"/>
  <c r="L356" i="29" s="1"/>
  <c r="N351" i="29"/>
  <c r="J351" i="29"/>
  <c r="L351" i="29" s="1"/>
  <c r="N350" i="29"/>
  <c r="J350" i="29"/>
  <c r="L350" i="29" s="1"/>
  <c r="N349" i="29"/>
  <c r="J349" i="29"/>
  <c r="L349" i="29" s="1"/>
  <c r="O349" i="29" s="1"/>
  <c r="N384" i="29"/>
  <c r="J384" i="29"/>
  <c r="L384" i="29" s="1"/>
  <c r="O384" i="29" s="1"/>
  <c r="N376" i="29"/>
  <c r="J376" i="29"/>
  <c r="L376" i="29" s="1"/>
  <c r="O376" i="29" s="1"/>
  <c r="N368" i="29"/>
  <c r="J368" i="29"/>
  <c r="L368" i="29" s="1"/>
  <c r="N360" i="29"/>
  <c r="J360" i="29"/>
  <c r="L360" i="29" s="1"/>
  <c r="O360" i="29" s="1"/>
  <c r="N355" i="29"/>
  <c r="J355" i="29"/>
  <c r="L355" i="29" s="1"/>
  <c r="O355" i="29" s="1"/>
  <c r="N348" i="29"/>
  <c r="J348" i="29"/>
  <c r="L348" i="29" s="1"/>
  <c r="O348" i="29" s="1"/>
  <c r="N343" i="29"/>
  <c r="J343" i="29"/>
  <c r="L343" i="29" s="1"/>
  <c r="N335" i="29"/>
  <c r="J335" i="29"/>
  <c r="L335" i="29" s="1"/>
  <c r="N329" i="29"/>
  <c r="J329" i="29"/>
  <c r="L329" i="29" s="1"/>
  <c r="N324" i="29"/>
  <c r="J324" i="29"/>
  <c r="L324" i="29" s="1"/>
  <c r="O324" i="29" s="1"/>
  <c r="N316" i="29"/>
  <c r="J316" i="29"/>
  <c r="L316" i="29" s="1"/>
  <c r="J298" i="29"/>
  <c r="L298" i="29" s="1"/>
  <c r="N298" i="29"/>
  <c r="N313" i="29"/>
  <c r="J313" i="29"/>
  <c r="L313" i="29" s="1"/>
  <c r="N310" i="29"/>
  <c r="J310" i="29"/>
  <c r="L310" i="29" s="1"/>
  <c r="O310" i="29" s="1"/>
  <c r="N309" i="29"/>
  <c r="J309" i="29"/>
  <c r="L309" i="29" s="1"/>
  <c r="N306" i="29"/>
  <c r="J306" i="29"/>
  <c r="L306" i="29" s="1"/>
  <c r="O306" i="29" s="1"/>
  <c r="N297" i="29"/>
  <c r="J297" i="29"/>
  <c r="L297" i="29" s="1"/>
  <c r="N294" i="29"/>
  <c r="J294" i="29"/>
  <c r="L294" i="29" s="1"/>
  <c r="N293" i="29"/>
  <c r="J293" i="29"/>
  <c r="L293" i="29" s="1"/>
  <c r="N292" i="29"/>
  <c r="J292" i="29"/>
  <c r="L292" i="29" s="1"/>
  <c r="N291" i="29"/>
  <c r="J291" i="29"/>
  <c r="L291" i="29" s="1"/>
  <c r="O291" i="29" s="1"/>
  <c r="N290" i="29"/>
  <c r="J290" i="29"/>
  <c r="L290" i="29" s="1"/>
  <c r="N289" i="29"/>
  <c r="J289" i="29"/>
  <c r="L289" i="29" s="1"/>
  <c r="O289" i="29" s="1"/>
  <c r="J288" i="29"/>
  <c r="L288" i="29" s="1"/>
  <c r="N288" i="29"/>
  <c r="N287" i="29"/>
  <c r="J287" i="29"/>
  <c r="L287" i="29" s="1"/>
  <c r="N286" i="29"/>
  <c r="J286" i="29"/>
  <c r="L286" i="29" s="1"/>
  <c r="N285" i="29"/>
  <c r="J285" i="29"/>
  <c r="L285" i="29" s="1"/>
  <c r="N284" i="29"/>
  <c r="J284" i="29"/>
  <c r="L284" i="29" s="1"/>
  <c r="N283" i="29"/>
  <c r="J283" i="29"/>
  <c r="L283" i="29" s="1"/>
  <c r="N282" i="29"/>
  <c r="J282" i="29"/>
  <c r="L282" i="29" s="1"/>
  <c r="O282" i="29" s="1"/>
  <c r="N279" i="29"/>
  <c r="J279" i="29"/>
  <c r="L279" i="29" s="1"/>
  <c r="N276" i="29"/>
  <c r="J276" i="29"/>
  <c r="L276" i="29" s="1"/>
  <c r="O276" i="29" s="1"/>
  <c r="N271" i="29"/>
  <c r="J271" i="29"/>
  <c r="L271" i="29" s="1"/>
  <c r="O271" i="29" s="1"/>
  <c r="N270" i="29"/>
  <c r="J270" i="29"/>
  <c r="L270" i="29" s="1"/>
  <c r="O270" i="29" s="1"/>
  <c r="N269" i="29"/>
  <c r="J269" i="29"/>
  <c r="L269" i="29" s="1"/>
  <c r="O269" i="29" s="1"/>
  <c r="N268" i="29"/>
  <c r="J268" i="29"/>
  <c r="L268" i="29" s="1"/>
  <c r="O268" i="29" s="1"/>
  <c r="N263" i="29"/>
  <c r="J263" i="29"/>
  <c r="L263" i="29" s="1"/>
  <c r="E270" i="29"/>
  <c r="E255" i="29"/>
  <c r="E247" i="29"/>
  <c r="E239" i="29"/>
  <c r="E231" i="29"/>
  <c r="E223" i="29"/>
  <c r="E216" i="29"/>
  <c r="E207" i="29"/>
  <c r="E199" i="29"/>
  <c r="E191" i="29"/>
  <c r="E183" i="29"/>
  <c r="E175" i="29"/>
  <c r="E167" i="29"/>
  <c r="E159" i="29"/>
  <c r="E151" i="29"/>
  <c r="E143" i="29"/>
  <c r="E135" i="29"/>
  <c r="E127" i="29"/>
  <c r="E119" i="29"/>
  <c r="E111" i="29"/>
  <c r="E103" i="29"/>
  <c r="E96" i="29"/>
  <c r="E89" i="29"/>
  <c r="E82" i="29"/>
  <c r="E75" i="29"/>
  <c r="E68" i="29"/>
  <c r="E61" i="29"/>
  <c r="E54" i="29"/>
  <c r="E47" i="29"/>
  <c r="E40" i="29"/>
  <c r="E33" i="29"/>
  <c r="E26" i="29"/>
  <c r="E19" i="29"/>
  <c r="N262" i="29"/>
  <c r="J262" i="29"/>
  <c r="L262" i="29" s="1"/>
  <c r="N261" i="29"/>
  <c r="J261" i="29"/>
  <c r="L261" i="29" s="1"/>
  <c r="N256" i="29"/>
  <c r="J256" i="29"/>
  <c r="L256" i="29" s="1"/>
  <c r="N254" i="29"/>
  <c r="J254" i="29"/>
  <c r="L254" i="29" s="1"/>
  <c r="N253" i="29"/>
  <c r="J253" i="29"/>
  <c r="L253" i="29" s="1"/>
  <c r="N248" i="29"/>
  <c r="J248" i="29"/>
  <c r="L248" i="29" s="1"/>
  <c r="N246" i="29"/>
  <c r="J246" i="29"/>
  <c r="L246" i="29" s="1"/>
  <c r="N245" i="29"/>
  <c r="J245" i="29"/>
  <c r="L245" i="29" s="1"/>
  <c r="O245" i="29" s="1"/>
  <c r="N240" i="29"/>
  <c r="J240" i="29"/>
  <c r="L240" i="29" s="1"/>
  <c r="N238" i="29"/>
  <c r="J238" i="29"/>
  <c r="L238" i="29" s="1"/>
  <c r="N237" i="29"/>
  <c r="J237" i="29"/>
  <c r="L237" i="29" s="1"/>
  <c r="N232" i="29"/>
  <c r="J232" i="29"/>
  <c r="L232" i="29" s="1"/>
  <c r="N230" i="29"/>
  <c r="J230" i="29"/>
  <c r="L230" i="29" s="1"/>
  <c r="N229" i="29"/>
  <c r="J229" i="29"/>
  <c r="L229" i="29" s="1"/>
  <c r="O229" i="29" s="1"/>
  <c r="N224" i="29"/>
  <c r="J224" i="29"/>
  <c r="L224" i="29" s="1"/>
  <c r="N222" i="29"/>
  <c r="J222" i="29"/>
  <c r="L222" i="29" s="1"/>
  <c r="O222" i="29" s="1"/>
  <c r="N221" i="29"/>
  <c r="J221" i="29"/>
  <c r="L221" i="29" s="1"/>
  <c r="N215" i="29"/>
  <c r="J215" i="29"/>
  <c r="L215" i="29" s="1"/>
  <c r="N214" i="29"/>
  <c r="J214" i="29"/>
  <c r="L214" i="29" s="1"/>
  <c r="N213" i="29"/>
  <c r="J213" i="29"/>
  <c r="L213" i="29" s="1"/>
  <c r="O213" i="29" s="1"/>
  <c r="N208" i="29"/>
  <c r="J208" i="29"/>
  <c r="L208" i="29" s="1"/>
  <c r="N206" i="29"/>
  <c r="J206" i="29"/>
  <c r="L206" i="29" s="1"/>
  <c r="N205" i="29"/>
  <c r="J205" i="29"/>
  <c r="L205" i="29" s="1"/>
  <c r="N200" i="29"/>
  <c r="J200" i="29"/>
  <c r="L200" i="29" s="1"/>
  <c r="N198" i="29"/>
  <c r="J198" i="29"/>
  <c r="L198" i="29" s="1"/>
  <c r="N197" i="29"/>
  <c r="J197" i="29"/>
  <c r="L197" i="29" s="1"/>
  <c r="O197" i="29" s="1"/>
  <c r="N192" i="29"/>
  <c r="J192" i="29"/>
  <c r="L192" i="29" s="1"/>
  <c r="N190" i="29"/>
  <c r="J190" i="29"/>
  <c r="L190" i="29" s="1"/>
  <c r="N189" i="29"/>
  <c r="J189" i="29"/>
  <c r="L189" i="29" s="1"/>
  <c r="N184" i="29"/>
  <c r="J184" i="29"/>
  <c r="L184" i="29" s="1"/>
  <c r="N182" i="29"/>
  <c r="J182" i="29"/>
  <c r="L182" i="29" s="1"/>
  <c r="N181" i="29"/>
  <c r="J181" i="29"/>
  <c r="L181" i="29" s="1"/>
  <c r="N176" i="29"/>
  <c r="J176" i="29"/>
  <c r="L176" i="29" s="1"/>
  <c r="N174" i="29"/>
  <c r="J174" i="29"/>
  <c r="L174" i="29" s="1"/>
  <c r="N173" i="29"/>
  <c r="J173" i="29"/>
  <c r="L173" i="29" s="1"/>
  <c r="N168" i="29"/>
  <c r="J168" i="29"/>
  <c r="L168" i="29" s="1"/>
  <c r="N166" i="29"/>
  <c r="J166" i="29"/>
  <c r="L166" i="29" s="1"/>
  <c r="N165" i="29"/>
  <c r="J165" i="29"/>
  <c r="L165" i="29" s="1"/>
  <c r="O165" i="29" s="1"/>
  <c r="N160" i="29"/>
  <c r="J160" i="29"/>
  <c r="L160" i="29" s="1"/>
  <c r="N158" i="29"/>
  <c r="J158" i="29"/>
  <c r="L158" i="29" s="1"/>
  <c r="O158" i="29" s="1"/>
  <c r="N157" i="29"/>
  <c r="J157" i="29"/>
  <c r="L157" i="29" s="1"/>
  <c r="N152" i="29"/>
  <c r="J152" i="29"/>
  <c r="L152" i="29" s="1"/>
  <c r="O152" i="29" s="1"/>
  <c r="N150" i="29"/>
  <c r="J150" i="29"/>
  <c r="L150" i="29" s="1"/>
  <c r="N149" i="29"/>
  <c r="J149" i="29"/>
  <c r="L149" i="29" s="1"/>
  <c r="O149" i="29" s="1"/>
  <c r="N144" i="29"/>
  <c r="J144" i="29"/>
  <c r="L144" i="29" s="1"/>
  <c r="N142" i="29"/>
  <c r="J142" i="29"/>
  <c r="L142" i="29" s="1"/>
  <c r="O142" i="29" s="1"/>
  <c r="N141" i="29"/>
  <c r="J141" i="29"/>
  <c r="L141" i="29" s="1"/>
  <c r="N136" i="29"/>
  <c r="J136" i="29"/>
  <c r="L136" i="29" s="1"/>
  <c r="N134" i="29"/>
  <c r="J134" i="29"/>
  <c r="L134" i="29" s="1"/>
  <c r="N133" i="29"/>
  <c r="J133" i="29"/>
  <c r="L133" i="29" s="1"/>
  <c r="O133" i="29" s="1"/>
  <c r="N128" i="29"/>
  <c r="J128" i="29"/>
  <c r="L128" i="29" s="1"/>
  <c r="N126" i="29"/>
  <c r="J126" i="29"/>
  <c r="L126" i="29" s="1"/>
  <c r="O126" i="29" s="1"/>
  <c r="N125" i="29"/>
  <c r="J125" i="29"/>
  <c r="L125" i="29" s="1"/>
  <c r="N120" i="29"/>
  <c r="J120" i="29"/>
  <c r="L120" i="29" s="1"/>
  <c r="N118" i="29"/>
  <c r="J118" i="29"/>
  <c r="L118" i="29" s="1"/>
  <c r="N117" i="29"/>
  <c r="J117" i="29"/>
  <c r="L117" i="29" s="1"/>
  <c r="O117" i="29" s="1"/>
  <c r="N112" i="29"/>
  <c r="J112" i="29"/>
  <c r="L112" i="29" s="1"/>
  <c r="N110" i="29"/>
  <c r="J110" i="29"/>
  <c r="L110" i="29" s="1"/>
  <c r="O110" i="29" s="1"/>
  <c r="N109" i="29"/>
  <c r="J109" i="29"/>
  <c r="L109" i="29" s="1"/>
  <c r="N102" i="29"/>
  <c r="J102" i="29"/>
  <c r="L102" i="29" s="1"/>
  <c r="N101" i="29"/>
  <c r="J101" i="29"/>
  <c r="L101" i="29" s="1"/>
  <c r="N95" i="29"/>
  <c r="J95" i="29"/>
  <c r="L95" i="29" s="1"/>
  <c r="N94" i="29"/>
  <c r="J94" i="29"/>
  <c r="L94" i="29" s="1"/>
  <c r="N88" i="29"/>
  <c r="J88" i="29"/>
  <c r="L88" i="29" s="1"/>
  <c r="O88" i="29" s="1"/>
  <c r="N87" i="29"/>
  <c r="J87" i="29"/>
  <c r="L87" i="29" s="1"/>
  <c r="N81" i="29"/>
  <c r="J81" i="29"/>
  <c r="L81" i="29" s="1"/>
  <c r="O81" i="29" s="1"/>
  <c r="N80" i="29"/>
  <c r="J80" i="29"/>
  <c r="L80" i="29" s="1"/>
  <c r="N74" i="29"/>
  <c r="J74" i="29"/>
  <c r="L74" i="29" s="1"/>
  <c r="O74" i="29" s="1"/>
  <c r="N73" i="29"/>
  <c r="J73" i="29"/>
  <c r="L73" i="29" s="1"/>
  <c r="N67" i="29"/>
  <c r="J67" i="29"/>
  <c r="L67" i="29" s="1"/>
  <c r="N66" i="29"/>
  <c r="J66" i="29"/>
  <c r="L66" i="29" s="1"/>
  <c r="O66" i="29" s="1"/>
  <c r="N60" i="29"/>
  <c r="J60" i="29"/>
  <c r="L60" i="29" s="1"/>
  <c r="N59" i="29"/>
  <c r="J59" i="29"/>
  <c r="L59" i="29" s="1"/>
  <c r="N53" i="29"/>
  <c r="J53" i="29"/>
  <c r="L53" i="29" s="1"/>
  <c r="N52" i="29"/>
  <c r="J52" i="29"/>
  <c r="L52" i="29" s="1"/>
  <c r="N46" i="29"/>
  <c r="J46" i="29"/>
  <c r="L46" i="29" s="1"/>
  <c r="N45" i="29"/>
  <c r="J45" i="29"/>
  <c r="L45" i="29" s="1"/>
  <c r="N39" i="29"/>
  <c r="J39" i="29"/>
  <c r="L39" i="29" s="1"/>
  <c r="N38" i="29"/>
  <c r="J38" i="29"/>
  <c r="L38" i="29" s="1"/>
  <c r="N32" i="29"/>
  <c r="J32" i="29"/>
  <c r="L32" i="29" s="1"/>
  <c r="N31" i="29"/>
  <c r="J31" i="29"/>
  <c r="L31" i="29" s="1"/>
  <c r="N25" i="29"/>
  <c r="J25" i="29"/>
  <c r="L25" i="29" s="1"/>
  <c r="O25" i="29" s="1"/>
  <c r="N24" i="29"/>
  <c r="J24" i="29"/>
  <c r="L24" i="29" s="1"/>
  <c r="N18" i="29"/>
  <c r="J18" i="29"/>
  <c r="L18" i="29" s="1"/>
  <c r="N17" i="29"/>
  <c r="J17" i="29"/>
  <c r="L17" i="29" s="1"/>
  <c r="O395" i="29" l="1"/>
  <c r="O388" i="29"/>
  <c r="O381" i="29"/>
  <c r="O368" i="29"/>
  <c r="O372" i="29"/>
  <c r="O365" i="29"/>
  <c r="O356" i="29"/>
  <c r="O350" i="29"/>
  <c r="O335" i="29"/>
  <c r="O313" i="29"/>
  <c r="O298" i="29"/>
  <c r="O297" i="29"/>
  <c r="O283" i="29"/>
  <c r="O285" i="29"/>
  <c r="O287" i="29"/>
  <c r="O293" i="29"/>
  <c r="O261" i="29"/>
  <c r="O263" i="29"/>
  <c r="O262" i="29"/>
  <c r="O254" i="29"/>
  <c r="O253" i="29"/>
  <c r="O256" i="29"/>
  <c r="O248" i="29"/>
  <c r="O246" i="29"/>
  <c r="O238" i="29"/>
  <c r="O237" i="29"/>
  <c r="O240" i="29"/>
  <c r="O232" i="29"/>
  <c r="O230" i="29"/>
  <c r="O221" i="29"/>
  <c r="O224" i="29"/>
  <c r="O215" i="29"/>
  <c r="O214" i="29"/>
  <c r="O206" i="29"/>
  <c r="O205" i="29"/>
  <c r="O208" i="29"/>
  <c r="O200" i="29"/>
  <c r="O198" i="29"/>
  <c r="O190" i="29"/>
  <c r="O189" i="29"/>
  <c r="O192" i="29"/>
  <c r="O181" i="29"/>
  <c r="O184" i="29"/>
  <c r="O182" i="29"/>
  <c r="O174" i="29"/>
  <c r="O173" i="29"/>
  <c r="O176" i="29"/>
  <c r="O168" i="29"/>
  <c r="O166" i="29"/>
  <c r="O157" i="29"/>
  <c r="O160" i="29"/>
  <c r="O150" i="29"/>
  <c r="O141" i="29"/>
  <c r="O144" i="29"/>
  <c r="O136" i="29"/>
  <c r="O134" i="29"/>
  <c r="O125" i="29"/>
  <c r="O128" i="29"/>
  <c r="O120" i="29"/>
  <c r="O118" i="29"/>
  <c r="O109" i="29"/>
  <c r="O112" i="29"/>
  <c r="O101" i="29"/>
  <c r="O95" i="29"/>
  <c r="O94" i="29"/>
  <c r="O87" i="29"/>
  <c r="O80" i="29"/>
  <c r="O73" i="29"/>
  <c r="O67" i="29"/>
  <c r="O60" i="29"/>
  <c r="O59" i="29"/>
  <c r="O53" i="29"/>
  <c r="O52" i="29"/>
  <c r="O46" i="29"/>
  <c r="O45" i="29"/>
  <c r="O39" i="29"/>
  <c r="O38" i="29"/>
  <c r="O32" i="29"/>
  <c r="O31" i="29"/>
  <c r="O24" i="29"/>
  <c r="O18" i="29"/>
  <c r="O17" i="29"/>
  <c r="O394" i="29"/>
  <c r="O351" i="29"/>
  <c r="O343" i="29"/>
  <c r="O329" i="29"/>
  <c r="O316" i="29"/>
  <c r="O309" i="29"/>
  <c r="O294" i="29"/>
  <c r="O292" i="29"/>
  <c r="O290" i="29"/>
  <c r="O288" i="29"/>
  <c r="O286" i="29"/>
  <c r="O284" i="29"/>
  <c r="O279" i="29"/>
  <c r="O102" i="29"/>
  <c r="N392" i="29" l="1"/>
  <c r="J392" i="29"/>
  <c r="L392" i="29" s="1"/>
  <c r="N352" i="29"/>
  <c r="J352" i="29"/>
  <c r="L352" i="29" s="1"/>
  <c r="N340" i="29"/>
  <c r="J340" i="29"/>
  <c r="L340" i="29" s="1"/>
  <c r="N337" i="29"/>
  <c r="J337" i="29"/>
  <c r="L337" i="29" s="1"/>
  <c r="N336" i="29"/>
  <c r="J336" i="29"/>
  <c r="L336" i="29" s="1"/>
  <c r="N332" i="29"/>
  <c r="J332" i="29"/>
  <c r="L332" i="29" s="1"/>
  <c r="N331" i="29"/>
  <c r="J331" i="29"/>
  <c r="L331" i="29" s="1"/>
  <c r="N330" i="29"/>
  <c r="J330" i="29"/>
  <c r="L330" i="29" s="1"/>
  <c r="N323" i="29"/>
  <c r="J323" i="29"/>
  <c r="L323" i="29" s="1"/>
  <c r="N322" i="29"/>
  <c r="J322" i="29"/>
  <c r="L322" i="29" s="1"/>
  <c r="N321" i="29"/>
  <c r="J321" i="29"/>
  <c r="L321" i="29" s="1"/>
  <c r="N320" i="29"/>
  <c r="J320" i="29"/>
  <c r="L320" i="29" s="1"/>
  <c r="N319" i="29"/>
  <c r="J319" i="29"/>
  <c r="L319" i="29" s="1"/>
  <c r="O319" i="29" s="1"/>
  <c r="N318" i="29"/>
  <c r="J318" i="29"/>
  <c r="L318" i="29" s="1"/>
  <c r="N317" i="29"/>
  <c r="J317" i="29"/>
  <c r="L317" i="29" s="1"/>
  <c r="O317" i="29" s="1"/>
  <c r="N303" i="29"/>
  <c r="J303" i="29"/>
  <c r="L303" i="29" s="1"/>
  <c r="O303" i="29" s="1"/>
  <c r="N302" i="29"/>
  <c r="J302" i="29"/>
  <c r="L302" i="29" s="1"/>
  <c r="N301" i="29"/>
  <c r="J301" i="29"/>
  <c r="L301" i="29" s="1"/>
  <c r="N300" i="29"/>
  <c r="J300" i="29"/>
  <c r="L300" i="29" s="1"/>
  <c r="N299" i="29"/>
  <c r="J299" i="29"/>
  <c r="L299" i="29" s="1"/>
  <c r="N104" i="29"/>
  <c r="J104" i="29"/>
  <c r="L104" i="29" s="1"/>
  <c r="A18" i="29"/>
  <c r="A19" i="29"/>
  <c r="A20" i="29"/>
  <c r="A21" i="29"/>
  <c r="A22" i="29"/>
  <c r="A31" i="29" s="1"/>
  <c r="A23" i="29"/>
  <c r="A24" i="29"/>
  <c r="A25" i="29"/>
  <c r="A26" i="29"/>
  <c r="A27" i="29"/>
  <c r="A28" i="29"/>
  <c r="A29" i="29"/>
  <c r="A30" i="29"/>
  <c r="A34" i="29"/>
  <c r="A35" i="29"/>
  <c r="A36" i="29"/>
  <c r="A37" i="29"/>
  <c r="A41" i="29"/>
  <c r="A42" i="29"/>
  <c r="A43" i="29"/>
  <c r="A44" i="29"/>
  <c r="A48" i="29"/>
  <c r="A49" i="29"/>
  <c r="A50" i="29"/>
  <c r="A51" i="29"/>
  <c r="A55" i="29"/>
  <c r="A56" i="29"/>
  <c r="A57" i="29"/>
  <c r="A58" i="29"/>
  <c r="A62" i="29"/>
  <c r="A63" i="29"/>
  <c r="A64" i="29"/>
  <c r="A65" i="29"/>
  <c r="A69" i="29"/>
  <c r="A70" i="29"/>
  <c r="A71" i="29"/>
  <c r="A72" i="29"/>
  <c r="A76" i="29"/>
  <c r="A77" i="29"/>
  <c r="A78" i="29"/>
  <c r="A79" i="29"/>
  <c r="A83" i="29"/>
  <c r="A84" i="29"/>
  <c r="A85" i="29"/>
  <c r="A86" i="29"/>
  <c r="A90" i="29"/>
  <c r="A91" i="29"/>
  <c r="A92" i="29"/>
  <c r="A93" i="29"/>
  <c r="A97" i="29"/>
  <c r="A98" i="29"/>
  <c r="A99" i="29"/>
  <c r="A100" i="29"/>
  <c r="A105" i="29"/>
  <c r="A106" i="29"/>
  <c r="A107" i="29"/>
  <c r="A108" i="29"/>
  <c r="A113" i="29"/>
  <c r="A114" i="29"/>
  <c r="A115" i="29"/>
  <c r="A116" i="29"/>
  <c r="A121" i="29"/>
  <c r="A122" i="29"/>
  <c r="A123" i="29"/>
  <c r="A124" i="29"/>
  <c r="A129" i="29"/>
  <c r="A130" i="29"/>
  <c r="A131" i="29"/>
  <c r="A132" i="29"/>
  <c r="A137" i="29"/>
  <c r="A138" i="29"/>
  <c r="A139" i="29"/>
  <c r="A140" i="29"/>
  <c r="A145" i="29"/>
  <c r="A146" i="29"/>
  <c r="A147" i="29"/>
  <c r="A148" i="29"/>
  <c r="A153" i="29"/>
  <c r="A154" i="29"/>
  <c r="A155" i="29"/>
  <c r="A156" i="29"/>
  <c r="A161" i="29"/>
  <c r="A162" i="29"/>
  <c r="A163" i="29"/>
  <c r="A164" i="29"/>
  <c r="A169" i="29"/>
  <c r="A170" i="29"/>
  <c r="A171" i="29"/>
  <c r="A172" i="29"/>
  <c r="A177" i="29"/>
  <c r="A178" i="29"/>
  <c r="A179" i="29"/>
  <c r="A180" i="29"/>
  <c r="A185" i="29"/>
  <c r="A186" i="29"/>
  <c r="A187" i="29"/>
  <c r="A188" i="29"/>
  <c r="A193" i="29"/>
  <c r="A194" i="29"/>
  <c r="A195" i="29"/>
  <c r="A196" i="29"/>
  <c r="A201" i="29"/>
  <c r="A202" i="29"/>
  <c r="A203" i="29"/>
  <c r="A204" i="29"/>
  <c r="A209" i="29"/>
  <c r="A210" i="29"/>
  <c r="A211" i="29"/>
  <c r="A212" i="29"/>
  <c r="A217" i="29"/>
  <c r="A218" i="29"/>
  <c r="A219" i="29"/>
  <c r="A220" i="29"/>
  <c r="A225" i="29"/>
  <c r="A226" i="29"/>
  <c r="A227" i="29"/>
  <c r="A228" i="29"/>
  <c r="A233" i="29"/>
  <c r="A234" i="29"/>
  <c r="A235" i="29"/>
  <c r="A236" i="29"/>
  <c r="A241" i="29"/>
  <c r="A242" i="29"/>
  <c r="A243" i="29"/>
  <c r="A244" i="29"/>
  <c r="A249" i="29"/>
  <c r="A250" i="29"/>
  <c r="A251" i="29"/>
  <c r="A252" i="29"/>
  <c r="A257" i="29"/>
  <c r="A258" i="29"/>
  <c r="A259" i="29"/>
  <c r="A260" i="29"/>
  <c r="A264" i="29"/>
  <c r="A265" i="29"/>
  <c r="A266" i="29"/>
  <c r="A267" i="29"/>
  <c r="A272" i="29"/>
  <c r="A273" i="29"/>
  <c r="A274" i="29"/>
  <c r="A275" i="29"/>
  <c r="A277" i="29"/>
  <c r="A278" i="29"/>
  <c r="A280" i="29"/>
  <c r="A281" i="29"/>
  <c r="A295" i="29"/>
  <c r="A296" i="29"/>
  <c r="A304" i="29"/>
  <c r="A305" i="29"/>
  <c r="A307" i="29"/>
  <c r="A308" i="29"/>
  <c r="A311" i="29"/>
  <c r="A312" i="29"/>
  <c r="A314" i="29"/>
  <c r="A315" i="29"/>
  <c r="A325" i="29"/>
  <c r="A326" i="29"/>
  <c r="A327" i="29"/>
  <c r="A328" i="29"/>
  <c r="A333" i="29"/>
  <c r="A334" i="29"/>
  <c r="A338" i="29"/>
  <c r="A339" i="29"/>
  <c r="A341" i="29"/>
  <c r="A342" i="29"/>
  <c r="A344" i="29"/>
  <c r="A345" i="29"/>
  <c r="A346" i="29"/>
  <c r="A347" i="29"/>
  <c r="A353" i="29"/>
  <c r="A354" i="29"/>
  <c r="A358" i="29"/>
  <c r="A359" i="29"/>
  <c r="A366" i="29"/>
  <c r="A367" i="29"/>
  <c r="A374" i="29"/>
  <c r="A375" i="29"/>
  <c r="A382" i="29"/>
  <c r="A383" i="29"/>
  <c r="A390" i="29"/>
  <c r="A391" i="29"/>
  <c r="E298" i="29"/>
  <c r="E297" i="29"/>
  <c r="E357" i="29"/>
  <c r="E356" i="29"/>
  <c r="G357" i="29"/>
  <c r="E355" i="29"/>
  <c r="G355" i="29" s="1"/>
  <c r="E306" i="29"/>
  <c r="G306" i="29" s="1"/>
  <c r="E332" i="29"/>
  <c r="E389" i="29"/>
  <c r="G389" i="29" s="1"/>
  <c r="E388" i="29"/>
  <c r="G388" i="29" s="1"/>
  <c r="E387" i="29"/>
  <c r="G387" i="29" s="1"/>
  <c r="E386" i="29"/>
  <c r="G386" i="29" s="1"/>
  <c r="E385" i="29"/>
  <c r="E384" i="29"/>
  <c r="G385" i="29"/>
  <c r="G384" i="29"/>
  <c r="E381" i="29"/>
  <c r="G381" i="29" s="1"/>
  <c r="E380" i="29"/>
  <c r="G380" i="29" s="1"/>
  <c r="E379" i="29"/>
  <c r="G379" i="29" s="1"/>
  <c r="E378" i="29"/>
  <c r="G378" i="29" s="1"/>
  <c r="E377" i="29"/>
  <c r="E376" i="29"/>
  <c r="G377" i="29"/>
  <c r="G376" i="29"/>
  <c r="E365" i="29"/>
  <c r="G365" i="29" s="1"/>
  <c r="E364" i="29"/>
  <c r="G364" i="29" s="1"/>
  <c r="E363" i="29"/>
  <c r="G363" i="29" s="1"/>
  <c r="E362" i="29"/>
  <c r="G362" i="29" s="1"/>
  <c r="E361" i="29"/>
  <c r="G361" i="29" s="1"/>
  <c r="E360" i="29"/>
  <c r="G360" i="29" s="1"/>
  <c r="G298" i="29"/>
  <c r="G297" i="29"/>
  <c r="E343" i="29"/>
  <c r="G343" i="29" s="1"/>
  <c r="E340" i="29"/>
  <c r="G340" i="29" s="1"/>
  <c r="E336" i="29"/>
  <c r="G336" i="29" s="1"/>
  <c r="G335" i="29"/>
  <c r="E330" i="29"/>
  <c r="G330" i="29" s="1"/>
  <c r="G329" i="29"/>
  <c r="G331" i="29"/>
  <c r="G319" i="29"/>
  <c r="E368" i="29"/>
  <c r="G368" i="29" s="1"/>
  <c r="G337" i="29"/>
  <c r="G332" i="29"/>
  <c r="E373" i="29"/>
  <c r="G373" i="29" s="1"/>
  <c r="E372" i="29"/>
  <c r="G372" i="29" s="1"/>
  <c r="E371" i="29"/>
  <c r="G371" i="29" s="1"/>
  <c r="E370" i="29"/>
  <c r="G370" i="29" s="1"/>
  <c r="E369" i="29"/>
  <c r="G369" i="29" s="1"/>
  <c r="E301" i="29"/>
  <c r="G301" i="29" s="1"/>
  <c r="G356" i="29"/>
  <c r="E352" i="29"/>
  <c r="G352" i="29" s="1"/>
  <c r="E351" i="29"/>
  <c r="G351" i="29" s="1"/>
  <c r="E350" i="29"/>
  <c r="G350" i="29" s="1"/>
  <c r="E349" i="29"/>
  <c r="G349" i="29" s="1"/>
  <c r="E348" i="29"/>
  <c r="G348" i="29" s="1"/>
  <c r="E299" i="29"/>
  <c r="G299" i="29" s="1"/>
  <c r="E320" i="29"/>
  <c r="G320" i="29" s="1"/>
  <c r="G393" i="29"/>
  <c r="G394" i="29"/>
  <c r="E324" i="29"/>
  <c r="G324" i="29" s="1"/>
  <c r="G321" i="29"/>
  <c r="G322" i="29"/>
  <c r="G318" i="29"/>
  <c r="G317" i="29"/>
  <c r="G294" i="29"/>
  <c r="G293" i="29"/>
  <c r="G292" i="29"/>
  <c r="G291" i="29"/>
  <c r="G290" i="29"/>
  <c r="E310" i="29"/>
  <c r="G310" i="29" s="1"/>
  <c r="E300" i="29"/>
  <c r="G300" i="29" s="1"/>
  <c r="E313" i="29"/>
  <c r="G313" i="29" s="1"/>
  <c r="G284" i="29"/>
  <c r="E283" i="29"/>
  <c r="G283" i="29" s="1"/>
  <c r="E309" i="29"/>
  <c r="G309" i="29" s="1"/>
  <c r="E303" i="29"/>
  <c r="G303" i="29" s="1"/>
  <c r="E302" i="29"/>
  <c r="G302" i="29" s="1"/>
  <c r="G288" i="29"/>
  <c r="G286" i="29"/>
  <c r="E282" i="29"/>
  <c r="G282" i="29" s="1"/>
  <c r="E271" i="29"/>
  <c r="G271" i="29" s="1"/>
  <c r="G270" i="29"/>
  <c r="E269" i="29"/>
  <c r="G269" i="29" s="1"/>
  <c r="E268" i="29"/>
  <c r="G268" i="29" s="1"/>
  <c r="G216" i="29"/>
  <c r="E215" i="29"/>
  <c r="G215" i="29" s="1"/>
  <c r="E214" i="29"/>
  <c r="G214" i="29" s="1"/>
  <c r="E213" i="29"/>
  <c r="G213" i="29" s="1"/>
  <c r="E263" i="29"/>
  <c r="G263" i="29" s="1"/>
  <c r="E262" i="29"/>
  <c r="G262" i="29" s="1"/>
  <c r="E261" i="29"/>
  <c r="G261" i="29" s="1"/>
  <c r="E256" i="29"/>
  <c r="G256" i="29" s="1"/>
  <c r="G255" i="29"/>
  <c r="E254" i="29"/>
  <c r="G254" i="29" s="1"/>
  <c r="E253" i="29"/>
  <c r="G253" i="29" s="1"/>
  <c r="E248" i="29"/>
  <c r="G248" i="29" s="1"/>
  <c r="G247" i="29"/>
  <c r="E246" i="29"/>
  <c r="G246" i="29" s="1"/>
  <c r="E245" i="29"/>
  <c r="G245" i="29" s="1"/>
  <c r="E240" i="29"/>
  <c r="G240" i="29" s="1"/>
  <c r="G239" i="29"/>
  <c r="E238" i="29"/>
  <c r="G238" i="29" s="1"/>
  <c r="E237" i="29"/>
  <c r="G237" i="29" s="1"/>
  <c r="E232" i="29"/>
  <c r="G232" i="29" s="1"/>
  <c r="G231" i="29"/>
  <c r="E230" i="29"/>
  <c r="G230" i="29" s="1"/>
  <c r="E229" i="29"/>
  <c r="G229" i="29" s="1"/>
  <c r="E224" i="29"/>
  <c r="G224" i="29" s="1"/>
  <c r="G223" i="29"/>
  <c r="E222" i="29"/>
  <c r="G222" i="29" s="1"/>
  <c r="E221" i="29"/>
  <c r="G221" i="29" s="1"/>
  <c r="E208" i="29"/>
  <c r="G208" i="29" s="1"/>
  <c r="G207" i="29"/>
  <c r="E206" i="29"/>
  <c r="G206" i="29" s="1"/>
  <c r="E205" i="29"/>
  <c r="G205" i="29" s="1"/>
  <c r="E200" i="29"/>
  <c r="G200" i="29" s="1"/>
  <c r="G199" i="29"/>
  <c r="E198" i="29"/>
  <c r="G198" i="29" s="1"/>
  <c r="E197" i="29"/>
  <c r="G197" i="29" s="1"/>
  <c r="E192" i="29"/>
  <c r="G192" i="29" s="1"/>
  <c r="G191" i="29"/>
  <c r="E190" i="29"/>
  <c r="G190" i="29" s="1"/>
  <c r="E189" i="29"/>
  <c r="G189" i="29" s="1"/>
  <c r="E184" i="29"/>
  <c r="G184" i="29" s="1"/>
  <c r="G183" i="29"/>
  <c r="E182" i="29"/>
  <c r="G182" i="29" s="1"/>
  <c r="E181" i="29"/>
  <c r="G181" i="29" s="1"/>
  <c r="E176" i="29"/>
  <c r="G176" i="29" s="1"/>
  <c r="G175" i="29"/>
  <c r="E174" i="29"/>
  <c r="G174" i="29" s="1"/>
  <c r="E173" i="29"/>
  <c r="G173" i="29" s="1"/>
  <c r="E168" i="29"/>
  <c r="G168" i="29" s="1"/>
  <c r="G167" i="29"/>
  <c r="E166" i="29"/>
  <c r="G166" i="29" s="1"/>
  <c r="E165" i="29"/>
  <c r="G165" i="29" s="1"/>
  <c r="E160" i="29"/>
  <c r="G160" i="29" s="1"/>
  <c r="G159" i="29"/>
  <c r="E158" i="29"/>
  <c r="G158" i="29" s="1"/>
  <c r="E157" i="29"/>
  <c r="G157" i="29" s="1"/>
  <c r="E152" i="29"/>
  <c r="G152" i="29" s="1"/>
  <c r="G151" i="29"/>
  <c r="E150" i="29"/>
  <c r="G150" i="29" s="1"/>
  <c r="E149" i="29"/>
  <c r="G149" i="29" s="1"/>
  <c r="E144" i="29"/>
  <c r="G144" i="29" s="1"/>
  <c r="G143" i="29"/>
  <c r="E142" i="29"/>
  <c r="G142" i="29" s="1"/>
  <c r="E141" i="29"/>
  <c r="G141" i="29" s="1"/>
  <c r="E136" i="29"/>
  <c r="G136" i="29" s="1"/>
  <c r="G135" i="29"/>
  <c r="E134" i="29"/>
  <c r="G134" i="29" s="1"/>
  <c r="E133" i="29"/>
  <c r="G133" i="29" s="1"/>
  <c r="E128" i="29"/>
  <c r="G128" i="29" s="1"/>
  <c r="G127" i="29"/>
  <c r="E126" i="29"/>
  <c r="G126" i="29" s="1"/>
  <c r="E125" i="29"/>
  <c r="G125" i="29" s="1"/>
  <c r="E120" i="29"/>
  <c r="G120" i="29" s="1"/>
  <c r="G119" i="29"/>
  <c r="E118" i="29"/>
  <c r="G118" i="29" s="1"/>
  <c r="E117" i="29"/>
  <c r="G117" i="29" s="1"/>
  <c r="E112" i="29"/>
  <c r="G112" i="29" s="1"/>
  <c r="G111" i="29"/>
  <c r="E110" i="29"/>
  <c r="G110" i="29" s="1"/>
  <c r="E109" i="29"/>
  <c r="G109" i="29" s="1"/>
  <c r="E104" i="29"/>
  <c r="G104" i="29" s="1"/>
  <c r="G103" i="29"/>
  <c r="E102" i="29"/>
  <c r="G102" i="29" s="1"/>
  <c r="E101" i="29"/>
  <c r="G101" i="29" s="1"/>
  <c r="G96" i="29"/>
  <c r="E95" i="29"/>
  <c r="G95" i="29" s="1"/>
  <c r="E94" i="29"/>
  <c r="G94" i="29" s="1"/>
  <c r="G89" i="29"/>
  <c r="E88" i="29"/>
  <c r="G88" i="29" s="1"/>
  <c r="E87" i="29"/>
  <c r="G87" i="29" s="1"/>
  <c r="G82" i="29"/>
  <c r="E81" i="29"/>
  <c r="G81" i="29" s="1"/>
  <c r="E80" i="29"/>
  <c r="G80" i="29" s="1"/>
  <c r="G75" i="29"/>
  <c r="E74" i="29"/>
  <c r="G74" i="29" s="1"/>
  <c r="E73" i="29"/>
  <c r="G73" i="29" s="1"/>
  <c r="G68" i="29"/>
  <c r="E67" i="29"/>
  <c r="G67" i="29" s="1"/>
  <c r="E66" i="29"/>
  <c r="G66" i="29" s="1"/>
  <c r="G61" i="29"/>
  <c r="E60" i="29"/>
  <c r="G60" i="29" s="1"/>
  <c r="E59" i="29"/>
  <c r="G59" i="29" s="1"/>
  <c r="G54" i="29"/>
  <c r="E53" i="29"/>
  <c r="G53" i="29" s="1"/>
  <c r="E52" i="29"/>
  <c r="G52" i="29" s="1"/>
  <c r="G47" i="29"/>
  <c r="E46" i="29"/>
  <c r="G46" i="29" s="1"/>
  <c r="E45" i="29"/>
  <c r="G45" i="29" s="1"/>
  <c r="G40" i="29"/>
  <c r="E39" i="29"/>
  <c r="G39" i="29" s="1"/>
  <c r="E38" i="29"/>
  <c r="G38" i="29" s="1"/>
  <c r="G33" i="29"/>
  <c r="E32" i="29"/>
  <c r="G32" i="29" s="1"/>
  <c r="E31" i="29"/>
  <c r="G31" i="29" s="1"/>
  <c r="G26" i="29"/>
  <c r="E25" i="29"/>
  <c r="G25" i="29" s="1"/>
  <c r="E24" i="29"/>
  <c r="G24" i="29" s="1"/>
  <c r="G19" i="29"/>
  <c r="E18" i="29"/>
  <c r="G18" i="29" s="1"/>
  <c r="E17" i="29"/>
  <c r="G17" i="29" s="1"/>
  <c r="A396" i="29"/>
  <c r="G395" i="29"/>
  <c r="G392" i="29"/>
  <c r="G323" i="29"/>
  <c r="G316" i="29"/>
  <c r="G289" i="29"/>
  <c r="G287" i="29"/>
  <c r="G285" i="29"/>
  <c r="G279" i="29"/>
  <c r="G276" i="29"/>
  <c r="A13" i="29"/>
  <c r="A14" i="29"/>
  <c r="A15" i="29"/>
  <c r="A16" i="29"/>
  <c r="O352" i="29" l="1"/>
  <c r="O331" i="29"/>
  <c r="O321" i="29"/>
  <c r="O318" i="29"/>
  <c r="O320" i="29"/>
  <c r="O322" i="29"/>
  <c r="O392" i="29"/>
  <c r="O340" i="29"/>
  <c r="O337" i="29"/>
  <c r="O336" i="29"/>
  <c r="O332" i="29"/>
  <c r="O330" i="29"/>
  <c r="O323" i="29"/>
  <c r="O302" i="29"/>
  <c r="O301" i="29"/>
  <c r="O300" i="29"/>
  <c r="O299" i="29"/>
  <c r="N255" i="29"/>
  <c r="J255" i="29"/>
  <c r="L255" i="29" s="1"/>
  <c r="N247" i="29"/>
  <c r="J247" i="29"/>
  <c r="L247" i="29" s="1"/>
  <c r="N239" i="29"/>
  <c r="J239" i="29"/>
  <c r="L239" i="29" s="1"/>
  <c r="J231" i="29"/>
  <c r="L231" i="29" s="1"/>
  <c r="N231" i="29"/>
  <c r="N223" i="29"/>
  <c r="J223" i="29"/>
  <c r="L223" i="29" s="1"/>
  <c r="J216" i="29"/>
  <c r="L216" i="29" s="1"/>
  <c r="N216" i="29"/>
  <c r="N207" i="29"/>
  <c r="J207" i="29"/>
  <c r="L207" i="29" s="1"/>
  <c r="J199" i="29"/>
  <c r="L199" i="29" s="1"/>
  <c r="N199" i="29"/>
  <c r="J191" i="29"/>
  <c r="L191" i="29" s="1"/>
  <c r="N191" i="29"/>
  <c r="N183" i="29"/>
  <c r="J183" i="29"/>
  <c r="L183" i="29" s="1"/>
  <c r="N175" i="29"/>
  <c r="J175" i="29"/>
  <c r="L175" i="29" s="1"/>
  <c r="J167" i="29"/>
  <c r="L167" i="29" s="1"/>
  <c r="N167" i="29"/>
  <c r="J159" i="29"/>
  <c r="L159" i="29" s="1"/>
  <c r="O159" i="29" s="1"/>
  <c r="N159" i="29"/>
  <c r="J151" i="29"/>
  <c r="L151" i="29" s="1"/>
  <c r="N151" i="29"/>
  <c r="N143" i="29"/>
  <c r="J143" i="29"/>
  <c r="L143" i="29" s="1"/>
  <c r="O143" i="29" s="1"/>
  <c r="N135" i="29"/>
  <c r="J135" i="29"/>
  <c r="L135" i="29" s="1"/>
  <c r="J127" i="29"/>
  <c r="L127" i="29" s="1"/>
  <c r="O127" i="29" s="1"/>
  <c r="N127" i="29"/>
  <c r="N119" i="29"/>
  <c r="J119" i="29"/>
  <c r="L119" i="29" s="1"/>
  <c r="J111" i="29"/>
  <c r="L111" i="29" s="1"/>
  <c r="N111" i="29"/>
  <c r="J103" i="29"/>
  <c r="L103" i="29" s="1"/>
  <c r="N103" i="29"/>
  <c r="J96" i="29"/>
  <c r="L96" i="29" s="1"/>
  <c r="N96" i="29"/>
  <c r="N89" i="29"/>
  <c r="J89" i="29"/>
  <c r="L89" i="29" s="1"/>
  <c r="O89" i="29" s="1"/>
  <c r="N82" i="29"/>
  <c r="J82" i="29"/>
  <c r="L82" i="29" s="1"/>
  <c r="J75" i="29"/>
  <c r="L75" i="29" s="1"/>
  <c r="N75" i="29"/>
  <c r="J68" i="29"/>
  <c r="L68" i="29" s="1"/>
  <c r="N68" i="29"/>
  <c r="N61" i="29"/>
  <c r="J61" i="29"/>
  <c r="L61" i="29" s="1"/>
  <c r="N54" i="29"/>
  <c r="J54" i="29"/>
  <c r="L54" i="29" s="1"/>
  <c r="J47" i="29"/>
  <c r="L47" i="29" s="1"/>
  <c r="N47" i="29"/>
  <c r="J40" i="29"/>
  <c r="L40" i="29" s="1"/>
  <c r="O40" i="29" s="1"/>
  <c r="N40" i="29"/>
  <c r="N33" i="29"/>
  <c r="J33" i="29"/>
  <c r="L33" i="29" s="1"/>
  <c r="O33" i="29" s="1"/>
  <c r="N26" i="29"/>
  <c r="J26" i="29"/>
  <c r="L26" i="29" s="1"/>
  <c r="N19" i="29"/>
  <c r="J19" i="29"/>
  <c r="L19" i="29" s="1"/>
  <c r="O104" i="29"/>
  <c r="A33" i="29"/>
  <c r="A32" i="29"/>
  <c r="O255" i="29" l="1"/>
  <c r="O247" i="29"/>
  <c r="O239" i="29"/>
  <c r="O223" i="29"/>
  <c r="O183" i="29"/>
  <c r="O151" i="29"/>
  <c r="O135" i="29"/>
  <c r="O119" i="29"/>
  <c r="O103" i="29"/>
  <c r="O82" i="29"/>
  <c r="O75" i="29"/>
  <c r="O68" i="29"/>
  <c r="O61" i="29"/>
  <c r="O54" i="29"/>
  <c r="O47" i="29"/>
  <c r="O19" i="29"/>
  <c r="O231" i="29"/>
  <c r="O216" i="29"/>
  <c r="O207" i="29"/>
  <c r="O199" i="29"/>
  <c r="O191" i="29"/>
  <c r="O175" i="29"/>
  <c r="O167" i="29"/>
  <c r="O111" i="29"/>
  <c r="O96" i="29"/>
  <c r="O26" i="29"/>
  <c r="A38" i="29"/>
  <c r="A39" i="29" s="1"/>
  <c r="A40" i="29" l="1"/>
  <c r="A45" i="29" s="1"/>
  <c r="P397" i="29"/>
  <c r="L397" i="29"/>
  <c r="K397" i="29"/>
  <c r="A397" i="29"/>
  <c r="A46" i="29" l="1"/>
  <c r="A7" i="29"/>
  <c r="A47" i="29" l="1"/>
  <c r="M13" i="29"/>
  <c r="L13" i="29"/>
  <c r="M14" i="29"/>
  <c r="L14" i="29"/>
  <c r="G12" i="29"/>
  <c r="J12" i="29" s="1"/>
  <c r="L12" i="29" s="1"/>
  <c r="G11" i="29"/>
  <c r="N11" i="29" s="1"/>
  <c r="G10" i="29"/>
  <c r="J10" i="29" s="1"/>
  <c r="L10" i="29" s="1"/>
  <c r="G9" i="29"/>
  <c r="N9" i="29" s="1"/>
  <c r="G8" i="29"/>
  <c r="J8" i="29" s="1"/>
  <c r="L8" i="29" s="1"/>
  <c r="G7" i="29"/>
  <c r="N7" i="29" s="1"/>
  <c r="A8" i="29"/>
  <c r="F19" i="13"/>
  <c r="I19" i="13"/>
  <c r="F18" i="13"/>
  <c r="I18" i="13" s="1"/>
  <c r="N17" i="13"/>
  <c r="F17" i="13"/>
  <c r="I17" i="13"/>
  <c r="F16" i="13"/>
  <c r="I16" i="13"/>
  <c r="F15" i="13"/>
  <c r="I15" i="13"/>
  <c r="L14" i="13"/>
  <c r="F14" i="13"/>
  <c r="I14" i="13"/>
  <c r="N13" i="13"/>
  <c r="F13" i="13"/>
  <c r="I13" i="13"/>
  <c r="N12" i="13"/>
  <c r="F12" i="13"/>
  <c r="I12" i="13" s="1"/>
  <c r="N11" i="13"/>
  <c r="F11" i="13"/>
  <c r="I11" i="13"/>
  <c r="N10" i="13"/>
  <c r="L10" i="13"/>
  <c r="F10" i="13"/>
  <c r="I10" i="13"/>
  <c r="N9" i="13"/>
  <c r="L9" i="13"/>
  <c r="F9" i="13"/>
  <c r="I9" i="13"/>
  <c r="I6" i="13"/>
  <c r="F18" i="12"/>
  <c r="D17" i="12"/>
  <c r="F17" i="12"/>
  <c r="F16" i="12"/>
  <c r="F15" i="12"/>
  <c r="D14" i="12"/>
  <c r="F14" i="12"/>
  <c r="F13" i="12"/>
  <c r="F12" i="12"/>
  <c r="D11" i="12"/>
  <c r="F11" i="12"/>
  <c r="D10" i="12"/>
  <c r="F10" i="12" s="1"/>
  <c r="D9" i="12"/>
  <c r="F9" i="12"/>
  <c r="F6" i="12"/>
  <c r="O14" i="13"/>
  <c r="N18" i="13"/>
  <c r="N14" i="13"/>
  <c r="P14" i="13"/>
  <c r="N15" i="13"/>
  <c r="A52" i="29" l="1"/>
  <c r="I21" i="13"/>
  <c r="F20" i="12"/>
  <c r="J7" i="29"/>
  <c r="L7" i="29" s="1"/>
  <c r="N12" i="29"/>
  <c r="O12" i="29" s="1"/>
  <c r="J9" i="29"/>
  <c r="L9" i="29" s="1"/>
  <c r="O9" i="29" s="1"/>
  <c r="N8" i="29"/>
  <c r="O8" i="29" s="1"/>
  <c r="N10" i="29"/>
  <c r="O10" i="29" s="1"/>
  <c r="J11" i="29"/>
  <c r="L11" i="29" s="1"/>
  <c r="O11" i="29" s="1"/>
  <c r="A9" i="29"/>
  <c r="A10" i="29" s="1"/>
  <c r="A53" i="29" l="1"/>
  <c r="A11" i="29"/>
  <c r="O7" i="29"/>
  <c r="I22" i="13"/>
  <c r="I23" i="13" s="1"/>
  <c r="A54" i="29" l="1"/>
  <c r="A59" i="29" s="1"/>
  <c r="A12" i="29"/>
  <c r="O398" i="29"/>
  <c r="P13" i="29"/>
  <c r="P398" i="29" s="1"/>
  <c r="P400" i="29" s="1"/>
  <c r="A60" i="29" l="1"/>
  <c r="A17" i="29"/>
  <c r="P399" i="29"/>
  <c r="P401" i="29"/>
  <c r="A61" i="29" l="1"/>
  <c r="A66" i="29" s="1"/>
  <c r="P402" i="29"/>
  <c r="A67" i="29" l="1"/>
  <c r="A68" i="29" l="1"/>
  <c r="A73" i="29" l="1"/>
  <c r="A74" i="29" s="1"/>
  <c r="A75" i="29" s="1"/>
  <c r="A80" i="29" s="1"/>
  <c r="A81" i="29" l="1"/>
  <c r="A82" i="29" s="1"/>
  <c r="A87" i="29" l="1"/>
  <c r="A88" i="29" l="1"/>
  <c r="A89" i="29" s="1"/>
  <c r="A94" i="29" l="1"/>
  <c r="A95" i="29" s="1"/>
  <c r="A96" i="29" s="1"/>
  <c r="A101" i="29" l="1"/>
  <c r="A102" i="29" s="1"/>
  <c r="A103" i="29" l="1"/>
  <c r="A104" i="29" s="1"/>
  <c r="A109" i="29" s="1"/>
  <c r="A110" i="29" l="1"/>
  <c r="A111" i="29" s="1"/>
  <c r="A112" i="29" s="1"/>
  <c r="A117" i="29" l="1"/>
  <c r="A118" i="29" s="1"/>
  <c r="A119" i="29" l="1"/>
  <c r="A120" i="29" l="1"/>
  <c r="A125" i="29" s="1"/>
  <c r="A126" i="29" l="1"/>
  <c r="A127" i="29" l="1"/>
  <c r="A128" i="29" l="1"/>
  <c r="A133" i="29" l="1"/>
  <c r="A134" i="29" l="1"/>
  <c r="A135" i="29" l="1"/>
  <c r="A136" i="29" l="1"/>
  <c r="A141" i="29" s="1"/>
  <c r="A142" i="29" l="1"/>
  <c r="A143" i="29" s="1"/>
  <c r="A144" i="29" s="1"/>
  <c r="A149" i="29" s="1"/>
  <c r="A150" i="29" l="1"/>
  <c r="A151" i="29" l="1"/>
  <c r="A152" i="29" l="1"/>
  <c r="A157" i="29" l="1"/>
  <c r="A158" i="29" s="1"/>
  <c r="A159" i="29" l="1"/>
  <c r="A160" i="29" l="1"/>
  <c r="A165" i="29" s="1"/>
  <c r="A166" i="29" l="1"/>
  <c r="A167" i="29" s="1"/>
  <c r="A168" i="29" s="1"/>
  <c r="A173" i="29" s="1"/>
  <c r="A174" i="29" l="1"/>
  <c r="A175" i="29" s="1"/>
  <c r="A176" i="29" s="1"/>
  <c r="A181" i="29" l="1"/>
  <c r="A182" i="29" s="1"/>
  <c r="A183" i="29" l="1"/>
  <c r="A184" i="29" s="1"/>
  <c r="A189" i="29" l="1"/>
  <c r="A190" i="29" s="1"/>
  <c r="A191" i="29" l="1"/>
  <c r="A192" i="29" s="1"/>
  <c r="A197" i="29" l="1"/>
  <c r="A198" i="29" s="1"/>
  <c r="A199" i="29" l="1"/>
  <c r="A200" i="29" s="1"/>
  <c r="A205" i="29" l="1"/>
  <c r="A206" i="29" s="1"/>
  <c r="A207" i="29" l="1"/>
  <c r="A208" i="29" s="1"/>
  <c r="A213" i="29" s="1"/>
  <c r="A214" i="29" l="1"/>
  <c r="A215" i="29" l="1"/>
  <c r="A216" i="29" s="1"/>
  <c r="A221" i="29" l="1"/>
  <c r="A222" i="29" l="1"/>
  <c r="A223" i="29" s="1"/>
  <c r="A224" i="29" l="1"/>
  <c r="A229" i="29" l="1"/>
  <c r="A230" i="29" l="1"/>
  <c r="A231" i="29" s="1"/>
  <c r="A232" i="29" l="1"/>
  <c r="A237" i="29" s="1"/>
  <c r="A238" i="29" l="1"/>
  <c r="A239" i="29" l="1"/>
  <c r="A240" i="29" l="1"/>
  <c r="A245" i="29" s="1"/>
  <c r="A246" i="29" l="1"/>
  <c r="A247" i="29" l="1"/>
  <c r="A248" i="29" l="1"/>
  <c r="A253" i="29" l="1"/>
  <c r="A254" i="29" l="1"/>
  <c r="A255" i="29" s="1"/>
  <c r="A256" i="29" s="1"/>
  <c r="A261" i="29" l="1"/>
  <c r="A262" i="29" l="1"/>
  <c r="A263" i="29" s="1"/>
  <c r="A268" i="29" l="1"/>
  <c r="A269" i="29" s="1"/>
  <c r="A270" i="29" l="1"/>
  <c r="A271" i="29" l="1"/>
  <c r="A276" i="29" s="1"/>
  <c r="A279" i="29" l="1"/>
  <c r="A282" i="29" s="1"/>
  <c r="A283" i="29" l="1"/>
  <c r="A284" i="29" s="1"/>
  <c r="A285" i="29" l="1"/>
  <c r="A286" i="29" l="1"/>
  <c r="A287" i="29" s="1"/>
  <c r="A288" i="29" s="1"/>
  <c r="A289" i="29" l="1"/>
  <c r="A290" i="29" l="1"/>
  <c r="A291" i="29" l="1"/>
  <c r="A292" i="29" s="1"/>
  <c r="A293" i="29" l="1"/>
  <c r="A294" i="29" l="1"/>
  <c r="A297" i="29" l="1"/>
  <c r="A298" i="29" l="1"/>
  <c r="A299" i="29" s="1"/>
  <c r="A300" i="29" l="1"/>
  <c r="A301" i="29" l="1"/>
  <c r="A302" i="29" s="1"/>
  <c r="A303" i="29" s="1"/>
  <c r="A306" i="29" l="1"/>
  <c r="A309" i="29" s="1"/>
  <c r="A310" i="29" l="1"/>
  <c r="A313" i="29" s="1"/>
  <c r="A316" i="29" l="1"/>
  <c r="A317" i="29" s="1"/>
  <c r="A318" i="29" l="1"/>
  <c r="A319" i="29" s="1"/>
  <c r="A320" i="29" s="1"/>
  <c r="A321" i="29" l="1"/>
  <c r="A322" i="29" s="1"/>
  <c r="A323" i="29" s="1"/>
  <c r="A324" i="29" l="1"/>
  <c r="A329" i="29" s="1"/>
  <c r="A330" i="29" l="1"/>
  <c r="A331" i="29" s="1"/>
  <c r="A332" i="29" s="1"/>
  <c r="A335" i="29" l="1"/>
  <c r="A336" i="29" l="1"/>
  <c r="A337" i="29" s="1"/>
  <c r="A340" i="29" l="1"/>
  <c r="A343" i="29" s="1"/>
  <c r="A348" i="29" s="1"/>
  <c r="A349" i="29" l="1"/>
  <c r="A350" i="29" l="1"/>
  <c r="A351" i="29" l="1"/>
  <c r="A352" i="29" s="1"/>
  <c r="A355" i="29" l="1"/>
  <c r="A356" i="29" s="1"/>
  <c r="A357" i="29" s="1"/>
  <c r="A360" i="29" l="1"/>
  <c r="A361" i="29" l="1"/>
  <c r="A362" i="29" l="1"/>
  <c r="A363" i="29" l="1"/>
  <c r="A364" i="29" s="1"/>
  <c r="A365" i="29" l="1"/>
  <c r="A368" i="29" s="1"/>
  <c r="A369" i="29" l="1"/>
  <c r="A370" i="29" s="1"/>
  <c r="A371" i="29" s="1"/>
  <c r="A372" i="29" l="1"/>
  <c r="A373" i="29" s="1"/>
  <c r="A376" i="29" l="1"/>
  <c r="A377" i="29" s="1"/>
  <c r="A378" i="29" l="1"/>
  <c r="A379" i="29"/>
  <c r="A380" i="29" l="1"/>
  <c r="A381" i="29" l="1"/>
  <c r="A384" i="29" l="1"/>
  <c r="A385" i="29" s="1"/>
  <c r="A386" i="29" l="1"/>
  <c r="A387" i="29" s="1"/>
  <c r="A388" i="29" l="1"/>
  <c r="A389" i="29" s="1"/>
  <c r="A392" i="29" l="1"/>
  <c r="A393" i="29" s="1"/>
  <c r="A394" i="29" l="1"/>
  <c r="A395" i="29" s="1"/>
</calcChain>
</file>

<file path=xl/sharedStrings.xml><?xml version="1.0" encoding="utf-8"?>
<sst xmlns="http://schemas.openxmlformats.org/spreadsheetml/2006/main" count="1119" uniqueCount="275">
  <si>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</si>
  <si>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</si>
  <si>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</si>
  <si>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</si>
  <si>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</si>
  <si>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</si>
  <si>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</si>
  <si>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</si>
  <si>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</si>
  <si>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</si>
  <si>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</si>
  <si>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</si>
  <si>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</si>
  <si>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</si>
  <si>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</si>
  <si>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</si>
  <si>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</si>
  <si>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</si>
  <si>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</si>
  <si>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</si>
  <si>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</si>
  <si>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</si>
  <si>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</si>
  <si>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</si>
  <si>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</si>
  <si>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</si>
  <si>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</si>
  <si>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</si>
  <si>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</si>
  <si>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</si>
  <si>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</si>
  <si>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</si>
  <si>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</si>
  <si>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</si>
  <si>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</si>
  <si>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</si>
  <si>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</si>
  <si>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</si>
  <si>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</si>
  <si>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</si>
  <si>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</si>
  <si>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</si>
  <si>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</si>
  <si>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</si>
  <si>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</si>
  <si>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</si>
  <si>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</si>
  <si>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</si>
  <si>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</si>
  <si>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</si>
  <si>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</si>
  <si>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</si>
  <si>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</si>
  <si>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</si>
  <si>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</si>
  <si>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</si>
  <si>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</si>
  <si>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</si>
  <si>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</si>
  <si>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</si>
  <si>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</si>
  <si>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</si>
  <si>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</si>
  <si>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</si>
  <si>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</si>
  <si>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</si>
  <si>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</si>
  <si>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</si>
  <si>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</si>
  <si>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</si>
  <si>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</si>
  <si>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</si>
  <si>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</si>
  <si>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</si>
  <si>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</si>
  <si>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</si>
  <si>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</si>
  <si>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</si>
  <si>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</si>
  <si>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</si>
  <si>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</si>
  <si>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</si>
  <si>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</si>
  <si>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</si>
  <si>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</si>
  <si>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</si>
  <si>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</si>
  <si>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</si>
  <si>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</si>
  <si>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</si>
  <si>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</si>
  <si>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</si>
  <si>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</si>
  <si>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</si>
  <si>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</si>
  <si>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</si>
  <si>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</si>
  <si>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</si>
  <si>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</si>
  <si>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</si>
  <si>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</si>
  <si>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</si>
  <si>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</si>
  <si>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</si>
  <si>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</si>
  <si>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</si>
  <si>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</si>
  <si>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</si>
  <si>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</si>
  <si>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</si>
  <si>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</si>
  <si>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</si>
  <si>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PER HOUR LABOR RATE</t>
  </si>
  <si>
    <t>TOTAL LABOR COST</t>
  </si>
  <si>
    <t>TOTAL LABOR HOURS</t>
  </si>
  <si>
    <t>UNIT MATERIAL COST</t>
  </si>
  <si>
    <t>TOTAL MATERIAL COST</t>
  </si>
  <si>
    <t>ITEM COST</t>
  </si>
  <si>
    <t>EA</t>
  </si>
  <si>
    <t>LF</t>
  </si>
  <si>
    <t>SF</t>
  </si>
  <si>
    <t/>
  </si>
  <si>
    <t>DIVISION 07 — THERMAL AND MOISTURE PROTECTION</t>
  </si>
  <si>
    <t>Roof Cricket</t>
  </si>
  <si>
    <t>TPO Fully Adhered Roof Membrane At Parapet</t>
  </si>
  <si>
    <t>Pre-Finished Metal Coping Cap</t>
  </si>
  <si>
    <t>1'-0" Wide Pre-Finished Metal Coping Cap</t>
  </si>
  <si>
    <t>Typ. Membrane Splice Per Manufacturer Requirements &amp; 
- Adhesive Per Manufacturer Requirements
- Hot Air Weld Per Manufacturer Requirements</t>
  </si>
  <si>
    <t>Parapet Blocking Under Metal Coping Cap</t>
  </si>
  <si>
    <t>ROOF CRICKET</t>
  </si>
  <si>
    <t>Continuous Cleat And Coping Cap Support</t>
  </si>
  <si>
    <t>TPO Fully Adhered Roof Membrane; 
- Wrap Vertical Surface And Terminate Over Parapet
- Provide Termination Bars As Required By Manufacturer Specifications</t>
  </si>
  <si>
    <t>ROOF DRAINAGE WORK</t>
  </si>
  <si>
    <t>PARAPET WALL TREATMENT</t>
  </si>
  <si>
    <t>FLASHING</t>
  </si>
  <si>
    <t>PARAPET WALL</t>
  </si>
  <si>
    <t>Screws</t>
  </si>
  <si>
    <t>6" Metal Stud @ 16" O.C.</t>
  </si>
  <si>
    <t>Batt Insulation Between 6" Metal Studs</t>
  </si>
  <si>
    <t>(2"X1'-0") Parapet Blocking  Under Metal Coping Cap</t>
  </si>
  <si>
    <t>Top And Bottom Track (6" Metal Stud)</t>
  </si>
  <si>
    <t>ROOF WALKWAY/PADS</t>
  </si>
  <si>
    <t>MISC. ITEMS</t>
  </si>
  <si>
    <t>Warranty Period: 20 years from date of Substantial Completion</t>
  </si>
  <si>
    <t>Fluid Applied Vapor Barrier</t>
  </si>
  <si>
    <t>PROJECT: ALTUS PUBLIC SCHOOLS L. MENDEL RIVERS ELEMENTARY</t>
  </si>
  <si>
    <t>ROOF ASSEMBLY TYPE "K1a" - STANDING SEAM METAL ROOF</t>
  </si>
  <si>
    <t>Continuous Moisture Barrier w/ Minimum 8" Overlap Vertically</t>
  </si>
  <si>
    <t>ROOF ASSEMBLY TYPE "K1b" - STANDING SEAM METAL ROOF</t>
  </si>
  <si>
    <r>
      <t xml:space="preserve">Pre-Finished Standing Seam Metal Roof - Pitch: 2.5:12
</t>
    </r>
    <r>
      <rPr>
        <b/>
        <sz val="12"/>
        <color theme="1"/>
        <rFont val="Calibri"/>
        <family val="2"/>
        <scheme val="minor"/>
      </rPr>
      <t>Basis Of Design:</t>
    </r>
    <r>
      <rPr>
        <sz val="12"/>
        <color theme="1"/>
        <rFont val="Calibri"/>
        <family val="2"/>
        <scheme val="minor"/>
      </rPr>
      <t xml:space="preserve"> MBCI Metal Roof &amp; Wall Systems</t>
    </r>
  </si>
  <si>
    <t>ROOF ASSEMBLY TYPE "K2a" - STANDING SEAM METAL ROOF</t>
  </si>
  <si>
    <t>ROOF ASSEMBLY TYPE "K2b" - STANDING SEAM METAL ROOF</t>
  </si>
  <si>
    <t>ROOF ASSEMBLY TYPE "K3a" - STANDING SEAM METAL ROOF</t>
  </si>
  <si>
    <t>ROOF ASSEMBLY TYPE "L1a" - STANDING SEAM METAL ROOF</t>
  </si>
  <si>
    <t>ROOF ASSEMBLY TYPE "L1b" - STANDING SEAM METAL ROOF</t>
  </si>
  <si>
    <t>ROOF ASSEMBLY TYPE "L2a" - STANDING SEAM METAL ROOF</t>
  </si>
  <si>
    <t>ROOF ASSEMBLY TYPE "L2b" - STANDING SEAM METAL ROOF</t>
  </si>
  <si>
    <t>ROOF ASSEMBLY TYPE "L3a" - STANDING SEAM METAL ROOF</t>
  </si>
  <si>
    <t>ROOF ASSEMBLY TYPE "E2b" - STANDING SEAM METAL ROOF</t>
  </si>
  <si>
    <t>ROOF ASSEMBLY TYPE "E3b" - STANDING SEAM METAL ROOF</t>
  </si>
  <si>
    <r>
      <t xml:space="preserve">Pre-Finished Standing Seam Metal Roof - Pitch: 1.5:12
</t>
    </r>
    <r>
      <rPr>
        <b/>
        <sz val="12"/>
        <color theme="1"/>
        <rFont val="Calibri"/>
        <family val="2"/>
        <scheme val="minor"/>
      </rPr>
      <t>Basis Of Design:</t>
    </r>
    <r>
      <rPr>
        <sz val="12"/>
        <color theme="1"/>
        <rFont val="Calibri"/>
        <family val="2"/>
        <scheme val="minor"/>
      </rPr>
      <t xml:space="preserve"> MBCI Metal Roof &amp; Wall Systems</t>
    </r>
  </si>
  <si>
    <t>A302</t>
  </si>
  <si>
    <t>A/A601</t>
  </si>
  <si>
    <t>ROOF ASSEMBLY TYPE "A1" - TPO MEMBRANE</t>
  </si>
  <si>
    <t>A301</t>
  </si>
  <si>
    <r>
      <t xml:space="preserve">80-Mil TPO Roof Membrane
</t>
    </r>
    <r>
      <rPr>
        <b/>
        <sz val="12"/>
        <color theme="1"/>
        <rFont val="Calibri"/>
        <family val="2"/>
        <scheme val="minor"/>
      </rPr>
      <t>Basis Of Design:</t>
    </r>
    <r>
      <rPr>
        <sz val="12"/>
        <color theme="1"/>
        <rFont val="Calibri"/>
        <family val="2"/>
        <scheme val="minor"/>
      </rPr>
      <t xml:space="preserve"> Carlisle SynTec Incorporated</t>
    </r>
  </si>
  <si>
    <t>Specs.</t>
  </si>
  <si>
    <t>A601-A612</t>
  </si>
  <si>
    <t>ROOF ASSEMBLY TYPE "A2" - TPO MEMBRANE</t>
  </si>
  <si>
    <t>ROOF ASSEMBLY TYPE "A3" - TPO MEMBRANE</t>
  </si>
  <si>
    <t>ROOF ASSEMBLY TYPE "A4" - TPO MEMBRANE</t>
  </si>
  <si>
    <t>ROOF ASSEMBLY TYPE "A5" - TPO MEMBRANE</t>
  </si>
  <si>
    <t>ROOF ASSEMBLY TYPE "B1" - TPO MEMBRANE</t>
  </si>
  <si>
    <t>ROOF ASSEMBLY TYPE "B2" - TPO MEMBRANE</t>
  </si>
  <si>
    <t>ROOF ASSEMBLY TYPE "B3" - TPO MEMBRANE</t>
  </si>
  <si>
    <t>ROOF ASSEMBLY TYPE "B4" - TPO MEMBRANE</t>
  </si>
  <si>
    <t>ROOF ASSEMBLY TYPE "B5" - TPO MEMBRANE</t>
  </si>
  <si>
    <t>ROOF ASSEMBLY TYPE "C1" - TPO MEMBRANE</t>
  </si>
  <si>
    <t>ROOF ASSEMBLY TYPE "C2" - TPO MEMBRANE</t>
  </si>
  <si>
    <t>ROOF ASSEMBLY TYPE "C3" - TPO MEMBRANE</t>
  </si>
  <si>
    <t>ROOF ASSEMBLY TYPE "D" - TPO MEMBRANE</t>
  </si>
  <si>
    <t>ROOF ASSEMBLY TYPE "E1" - TPO MEMBRANE</t>
  </si>
  <si>
    <t>ROOF ASSEMBLY TYPE "E2" - TPO MEMBRANE</t>
  </si>
  <si>
    <t>ROOF ASSEMBLY TYPE "E3" - TPO MEMBRANE</t>
  </si>
  <si>
    <t>ROOF ASSEMBLY TYPE "F" - TPO MEMBRANE</t>
  </si>
  <si>
    <t>ROOF ASSEMBLY TYPE "H" - TPO MEMBRANE</t>
  </si>
  <si>
    <t>ROOF ASSEMBLY TYPE "LOW ROOF" - TPO MEMBRANE</t>
  </si>
  <si>
    <t>ROOF ASSEMBLY TYPE "SITE BUILT CANOPY" - TPO MEMBRANE</t>
  </si>
  <si>
    <r>
      <t xml:space="preserve">80-Mil TPO Roof Membrane - Pitch: 3:12
</t>
    </r>
    <r>
      <rPr>
        <b/>
        <sz val="12"/>
        <color theme="1"/>
        <rFont val="Calibri"/>
        <family val="2"/>
        <scheme val="minor"/>
      </rPr>
      <t>Basis Of Design:</t>
    </r>
    <r>
      <rPr>
        <sz val="12"/>
        <color theme="1"/>
        <rFont val="Calibri"/>
        <family val="2"/>
        <scheme val="minor"/>
      </rPr>
      <t xml:space="preserve"> Carlisle SynTec Incorporated</t>
    </r>
  </si>
  <si>
    <r>
      <t xml:space="preserve">80-Mil TPO Roof Membrane - Pitch: 2:12
</t>
    </r>
    <r>
      <rPr>
        <b/>
        <sz val="12"/>
        <color theme="1"/>
        <rFont val="Calibri"/>
        <family val="2"/>
        <scheme val="minor"/>
      </rPr>
      <t>Basis Of Design:</t>
    </r>
    <r>
      <rPr>
        <sz val="12"/>
        <color theme="1"/>
        <rFont val="Calibri"/>
        <family val="2"/>
        <scheme val="minor"/>
      </rPr>
      <t xml:space="preserve"> Carlisle SynTec Incorporated</t>
    </r>
  </si>
  <si>
    <r>
      <t xml:space="preserve">1-1/2" Polyisocyanurate Rigid Insulation Board; Taper As Required
</t>
    </r>
    <r>
      <rPr>
        <b/>
        <sz val="12"/>
        <color theme="1"/>
        <rFont val="Calibri"/>
        <family val="2"/>
        <scheme val="minor"/>
      </rPr>
      <t xml:space="preserve">Basis Of Design: </t>
    </r>
    <r>
      <rPr>
        <sz val="12"/>
        <color theme="1"/>
        <rFont val="Calibri"/>
        <family val="2"/>
        <scheme val="minor"/>
      </rPr>
      <t>Atlas Roofing Corporation</t>
    </r>
  </si>
  <si>
    <t>5/8" Thick Recovery Board</t>
  </si>
  <si>
    <t>ROOF ASSEMBLY TYPE "G" - PVC MEMBRANE</t>
  </si>
  <si>
    <r>
      <t xml:space="preserve">80-Mil PVC Roof Membrane
</t>
    </r>
    <r>
      <rPr>
        <b/>
        <sz val="12"/>
        <color theme="1"/>
        <rFont val="Calibri"/>
        <family val="2"/>
        <scheme val="minor"/>
      </rPr>
      <t>Basis Of Design:</t>
    </r>
    <r>
      <rPr>
        <sz val="12"/>
        <color theme="1"/>
        <rFont val="Calibri"/>
        <family val="2"/>
        <scheme val="minor"/>
      </rPr>
      <t xml:space="preserve"> Sikaplan</t>
    </r>
  </si>
  <si>
    <t>Flexible Walkways
- Factory-Formed, Nonporous, Heavy-Duty, Slip-Resisting
- Surface textured Walkway Pads Or Rolls, Approximately 3/16-Inch Thick 
Size: Minimum 30 By 30 Inches.
Color: Match Roof Membrane</t>
  </si>
  <si>
    <t>Pre-Finished Metal Gutter</t>
  </si>
  <si>
    <t>A/A601, C/A603, D/A603</t>
  </si>
  <si>
    <t>A301, A302</t>
  </si>
  <si>
    <t>2x4 Fire Resistant Wood Blocking</t>
  </si>
  <si>
    <t>2x6 Fire Resistant Wood Blocking</t>
  </si>
  <si>
    <t>2x12 Fire Resistant Wood Blocking</t>
  </si>
  <si>
    <t>WOOD BLOCKING @ ROOF EDGE</t>
  </si>
  <si>
    <t>EXTERIOR SHEATHING @ ROOF EDGE</t>
  </si>
  <si>
    <t>3/4" Exterior Plywood Sheathing</t>
  </si>
  <si>
    <t>4" Roof Drain &amp; Dome Strainer</t>
  </si>
  <si>
    <t>6" Overflow Roof Drain &amp; Dome Strainer</t>
  </si>
  <si>
    <t>6" Roof Drain &amp; Dome Strainer</t>
  </si>
  <si>
    <t>8" Overflow Roof Drain &amp; Dome Strainer</t>
  </si>
  <si>
    <t>5x5 Pre-Finished Metal Downspout</t>
  </si>
  <si>
    <t>INSULATION @ ROOF EDGE</t>
  </si>
  <si>
    <t>1-1/2" Rigid Insulation</t>
  </si>
  <si>
    <t>2x4 Wood Blocking</t>
  </si>
  <si>
    <t>C/A603, D/A603</t>
  </si>
  <si>
    <t>Custom Painted Steel Protective Downspout Boot</t>
  </si>
  <si>
    <t>TPO MEMBRANE UNDER DOWNSPOUT DISCHARGE</t>
  </si>
  <si>
    <t>(18"x36") 60 MIL TPO Roof Membrane under Downspout Discharge</t>
  </si>
  <si>
    <t>D/A303</t>
  </si>
  <si>
    <t>2x2 Fire Resistant Wood Blocking</t>
  </si>
  <si>
    <t>Batt Insulation</t>
  </si>
  <si>
    <t>Cap Sheet w/ Base Flashing @ Roof Drain</t>
  </si>
  <si>
    <t>8"x6" Pre-Finished 26 GA. Metal Thru Wall Scupper &amp; Scupper Head</t>
  </si>
  <si>
    <t>B/A303</t>
  </si>
  <si>
    <t>12"x6" Pre-Finished 26 GA. Metal Thru Wall Scupper &amp; Scupper Head</t>
  </si>
  <si>
    <t>16"x6" Pre-Finished 26 GA. Metal Thru Wall Scupper &amp; Scupper Head</t>
  </si>
  <si>
    <t>20"x6" Pre-Finished 26 GA. Metal Thru Wall Scupper &amp; Scupper Head</t>
  </si>
  <si>
    <t>32"x6" Pre-Finished 26 GA. Metal Thru Wall Scupper &amp; Scupper Head</t>
  </si>
  <si>
    <t>72"x6" Pre-Finished 26 GA. Metal Thru Wall Scupper &amp; Scupper Head</t>
  </si>
  <si>
    <t>Roofing Termination Sheet w/ Continuous Membrane Flashing @ Thru Wall Scupper</t>
  </si>
  <si>
    <t>B/A601</t>
  </si>
  <si>
    <t>Pre-Finish Metal Wall Flashing over 'Z' Clip with Sealant</t>
  </si>
  <si>
    <t>TPO Termination Sheet over Pre-Finish Trim Flashing</t>
  </si>
  <si>
    <t>Flashing  @ Mechanical Equipment Curb</t>
  </si>
  <si>
    <t>Flashing  @ Vent Through Roof</t>
  </si>
  <si>
    <t>Flashing  @ RS/RL Mechanical Piping</t>
  </si>
  <si>
    <t>A303-A304</t>
  </si>
  <si>
    <t>Single-Ply Roof Membrane Fully Adhered To Wall W/ Bonding Adhesive @ Mechanical Equipment Curb</t>
  </si>
  <si>
    <t>8" Roof Curb</t>
  </si>
  <si>
    <t>A303</t>
  </si>
  <si>
    <t>A304</t>
  </si>
  <si>
    <t>(9'-0" H) Roof Ladder</t>
  </si>
  <si>
    <t>(13'-2" H) Roof Ladder</t>
  </si>
  <si>
    <t>A/A607, A/A304</t>
  </si>
  <si>
    <t>2x8 Wood Blocking</t>
  </si>
  <si>
    <t>A/A304</t>
  </si>
  <si>
    <t xml:space="preserve">Continuous Metal Cleat </t>
  </si>
  <si>
    <t>6" Metal Stud Fascia Edge</t>
  </si>
  <si>
    <t>1/2" Exterior Gypsum Sheathing</t>
  </si>
  <si>
    <t>Liquid Applied Moisture Barrier</t>
  </si>
  <si>
    <t>0'-8" Wide Pre-Finished Metal Coping Cap</t>
  </si>
  <si>
    <t>(2"X0'-8") Parapet Blocking  Under Metal Coping Cap</t>
  </si>
  <si>
    <t>6" Metal Stud Knee Wall</t>
  </si>
  <si>
    <t>1/2" Denseglass Sheathing @ Both Sides</t>
  </si>
  <si>
    <t>6" Metal Stud Parapet Wall, (4'-5" H)</t>
  </si>
  <si>
    <t>B/A303, A/A604</t>
  </si>
  <si>
    <t>Pre-Finish Rake Flashing</t>
  </si>
  <si>
    <t>B/A603</t>
  </si>
  <si>
    <t>0'-6" Wide Pre-Finished Metal Coping Cap</t>
  </si>
  <si>
    <t>0'-10" Wide Pre-Finished Metal Coping Cap</t>
  </si>
  <si>
    <t>(2"X0'-6") Parapet Blocking  Under Metal Coping Cap</t>
  </si>
  <si>
    <t>2x6 Wood Blocking</t>
  </si>
  <si>
    <t>6" Metal Stud Parapet Wall, (3'-0" H)</t>
  </si>
  <si>
    <t>6" Metal Stud Parapet Wall, (5'-4" H)</t>
  </si>
  <si>
    <t>D/A607</t>
  </si>
  <si>
    <t>C/A607</t>
  </si>
  <si>
    <t>6" Metal Stud Parapet Wall, (9'-0" H)</t>
  </si>
  <si>
    <t>K/A303, H/A303</t>
  </si>
  <si>
    <t>LOCATION: AIR FORCE BASE, 3000 N VETERANS DR. ALTUS, OKLAHAMA 73521</t>
  </si>
  <si>
    <t>A/A303, A/A604</t>
  </si>
  <si>
    <t>B/A304, H/A303</t>
  </si>
  <si>
    <t>A303-A612</t>
  </si>
  <si>
    <t>C/A603, H/A303</t>
  </si>
  <si>
    <t>A/A601, A/A304</t>
  </si>
  <si>
    <t>Roof Access Hatch</t>
  </si>
  <si>
    <r>
      <t xml:space="preserve">2" Polyisocyanurate Rigid Insulation Board; Taper As Required
- (R-32.5 Minimum)
</t>
    </r>
    <r>
      <rPr>
        <b/>
        <sz val="12"/>
        <color theme="1"/>
        <rFont val="Calibri"/>
        <family val="2"/>
        <scheme val="minor"/>
      </rPr>
      <t xml:space="preserve">Basis Of Design: </t>
    </r>
    <r>
      <rPr>
        <sz val="12"/>
        <color theme="1"/>
        <rFont val="Calibri"/>
        <family val="2"/>
        <scheme val="minor"/>
      </rPr>
      <t>Atlas Roofing Corporation</t>
    </r>
  </si>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</sst>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s>
  <fonts count="6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3"/>
      <name val="Calibri"/>
      <family val="2"/>
      <scheme val="minor"/>
    </font>
    <font>
      <b/>
      <sz val="13"/>
      <color rgb="FFFF0000"/>
      <name val="Calibri"/>
      <family val="2"/>
      <scheme val="minor"/>
    </font>
    <font>
      <u/>
      <sz val="12"/>
      <color theme="10"/>
      <name val="Arial"/>
      <family val="2"/>
    </font>
    <font>
      <b/>
      <sz val="14"/>
      <color theme="0"/>
      <name val="Calibri"/>
      <family val="2"/>
      <scheme val="minor"/>
    </font>
    <font>
      <sz val="11"/>
      <name val="Calibri"/>
      <family val="1"/>
    </font>
    <font>
      <sz val="8"/>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3" tint="0.39997558519241921"/>
        <bgColor indexed="64"/>
      </patternFill>
    </fill>
    <fill>
      <patternFill patternType="solid">
        <fgColor theme="4" tint="0.59999389629810485"/>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85">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18" fillId="0" borderId="0"/>
    <xf numFmtId="0" fontId="18" fillId="23" borderId="7" applyNumberFormat="0" applyFont="0" applyAlignment="0" applyProtection="0"/>
    <xf numFmtId="0" fontId="32" fillId="20" borderId="8" applyNumberFormat="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16" fillId="0" borderId="0"/>
    <xf numFmtId="0" fontId="36" fillId="0" borderId="0"/>
    <xf numFmtId="0" fontId="18" fillId="0" borderId="0"/>
    <xf numFmtId="43" fontId="36" fillId="0" borderId="0" applyFont="0" applyFill="0" applyBorder="0" applyAlignment="0" applyProtection="0"/>
    <xf numFmtId="0" fontId="37" fillId="0" borderId="0"/>
    <xf numFmtId="43" fontId="18" fillId="0" borderId="0" applyFont="0" applyFill="0" applyBorder="0" applyAlignment="0" applyProtection="0"/>
    <xf numFmtId="0" fontId="18" fillId="0" borderId="0"/>
    <xf numFmtId="44" fontId="37" fillId="0" borderId="0" applyFont="0" applyFill="0" applyBorder="0" applyAlignment="0" applyProtection="0"/>
    <xf numFmtId="0" fontId="15" fillId="0" borderId="0"/>
    <xf numFmtId="0" fontId="18" fillId="0" borderId="0"/>
    <xf numFmtId="0" fontId="15" fillId="0" borderId="0"/>
    <xf numFmtId="44" fontId="56" fillId="0" borderId="0" applyFont="0" applyFill="0" applyBorder="0" applyAlignment="0" applyProtection="0"/>
    <xf numFmtId="9" fontId="56" fillId="0" borderId="0" applyFont="0" applyFill="0" applyBorder="0" applyAlignment="0" applyProtection="0"/>
    <xf numFmtId="0" fontId="14" fillId="0" borderId="0"/>
    <xf numFmtId="0" fontId="13" fillId="0" borderId="0"/>
    <xf numFmtId="0" fontId="12" fillId="0" borderId="0"/>
    <xf numFmtId="0" fontId="11" fillId="0" borderId="0"/>
    <xf numFmtId="0" fontId="38" fillId="29" borderId="32" applyBorder="0">
      <alignment horizontal="center" vertical="center" wrapText="1"/>
    </xf>
    <xf numFmtId="0" fontId="18" fillId="23" borderId="7" applyNumberFormat="0" applyFont="0" applyAlignment="0" applyProtection="0"/>
    <xf numFmtId="0" fontId="10" fillId="0" borderId="0"/>
    <xf numFmtId="0" fontId="9" fillId="0" borderId="0"/>
    <xf numFmtId="44" fontId="18" fillId="0" borderId="0" applyFont="0" applyFill="0" applyBorder="0" applyAlignment="0" applyProtection="0"/>
    <xf numFmtId="0" fontId="18" fillId="23" borderId="7" applyNumberFormat="0" applyFont="0" applyAlignment="0" applyProtection="0"/>
    <xf numFmtId="0" fontId="8" fillId="0" borderId="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7" fillId="0" borderId="0"/>
    <xf numFmtId="0" fontId="6" fillId="0" borderId="0"/>
    <xf numFmtId="0" fontId="18" fillId="23" borderId="7" applyNumberFormat="0" applyFont="0" applyAlignment="0" applyProtection="0"/>
    <xf numFmtId="44" fontId="18" fillId="0" borderId="0" applyFont="0" applyFill="0" applyBorder="0" applyAlignment="0" applyProtection="0"/>
    <xf numFmtId="0" fontId="32" fillId="20" borderId="8" applyNumberFormat="0" applyAlignment="0" applyProtection="0"/>
    <xf numFmtId="0" fontId="59" fillId="0" borderId="0" applyNumberFormat="0" applyFill="0" applyBorder="0" applyAlignment="0" applyProtection="0"/>
    <xf numFmtId="0" fontId="5" fillId="0" borderId="0"/>
    <xf numFmtId="0" fontId="4" fillId="0" borderId="0"/>
    <xf numFmtId="9" fontId="61" fillId="0" borderId="0"/>
    <xf numFmtId="0" fontId="3" fillId="0" borderId="0"/>
    <xf numFmtId="0" fontId="2" fillId="0" borderId="0"/>
    <xf numFmtId="0" fontId="61" fillId="0" borderId="0"/>
    <xf numFmtId="43" fontId="61" fillId="0" borderId="0"/>
    <xf numFmtId="43" fontId="61" fillId="0" borderId="0"/>
    <xf numFmtId="0" fontId="1" fillId="0" borderId="0"/>
  </cellStyleXfs>
  <cellXfs count="214">
    <xf numFmtId="0" fontId="0" fillId="0" borderId="0" xfId="0"/>
    <xf numFmtId="2" fontId="17" fillId="0" borderId="0" xfId="0" applyNumberFormat="1" applyFont="1" applyAlignment="1">
      <alignment horizontal="left" vertical="center"/>
    </xf>
    <xf numFmtId="2" fontId="38" fillId="0" borderId="0" xfId="0" applyNumberFormat="1" applyFont="1" applyAlignment="1">
      <alignment horizontal="left" vertical="center"/>
    </xf>
    <xf numFmtId="2" fontId="38" fillId="0" borderId="0" xfId="0" applyNumberFormat="1" applyFont="1" applyAlignment="1">
      <alignment horizontal="center" vertical="center"/>
    </xf>
    <xf numFmtId="2" fontId="38" fillId="0" borderId="0" xfId="0" applyNumberFormat="1" applyFont="1" applyAlignment="1">
      <alignment vertical="center"/>
    </xf>
    <xf numFmtId="0" fontId="38" fillId="0" borderId="0" xfId="0" applyFont="1" applyAlignment="1">
      <alignment vertical="center"/>
    </xf>
    <xf numFmtId="0" fontId="38" fillId="0" borderId="0" xfId="0" applyFont="1" applyAlignment="1">
      <alignment horizontal="center" vertical="center"/>
    </xf>
    <xf numFmtId="165" fontId="38" fillId="0" borderId="0" xfId="0" applyNumberFormat="1" applyFont="1" applyAlignment="1">
      <alignment vertical="center"/>
    </xf>
    <xf numFmtId="2" fontId="38" fillId="0" borderId="0" xfId="0" applyNumberFormat="1" applyFont="1" applyAlignment="1">
      <alignment vertical="center" wrapText="1"/>
    </xf>
    <xf numFmtId="165" fontId="39" fillId="0" borderId="0" xfId="0" applyNumberFormat="1" applyFont="1" applyAlignment="1">
      <alignment horizontal="center" vertical="center"/>
    </xf>
    <xf numFmtId="164" fontId="39" fillId="0" borderId="0" xfId="0" applyNumberFormat="1" applyFont="1" applyAlignment="1">
      <alignment horizontal="center" vertical="center"/>
    </xf>
    <xf numFmtId="0" fontId="40" fillId="0" borderId="0" xfId="0" applyFont="1" applyAlignment="1">
      <alignment horizontal="center" vertical="center" wrapText="1"/>
    </xf>
    <xf numFmtId="0" fontId="38" fillId="0" borderId="12" xfId="0" applyFont="1" applyBorder="1" applyAlignment="1">
      <alignment horizontal="right" vertical="center" wrapText="1"/>
    </xf>
    <xf numFmtId="0" fontId="38" fillId="0" borderId="12" xfId="0" applyFont="1" applyBorder="1" applyAlignment="1">
      <alignment vertical="center"/>
    </xf>
    <xf numFmtId="0" fontId="38" fillId="25" borderId="10" xfId="0" applyFont="1" applyFill="1" applyBorder="1" applyAlignment="1">
      <alignment vertical="center" wrapText="1"/>
    </xf>
    <xf numFmtId="0" fontId="38" fillId="25" borderId="10" xfId="0" applyFont="1" applyFill="1" applyBorder="1" applyAlignment="1">
      <alignment horizontal="center" vertical="center"/>
    </xf>
    <xf numFmtId="165" fontId="38" fillId="25" borderId="10" xfId="0" applyNumberFormat="1" applyFont="1" applyFill="1" applyBorder="1" applyAlignment="1">
      <alignment vertical="center"/>
    </xf>
    <xf numFmtId="2" fontId="17" fillId="0" borderId="0" xfId="0" applyNumberFormat="1" applyFont="1" applyAlignment="1">
      <alignment horizontal="right" vertical="center"/>
    </xf>
    <xf numFmtId="42" fontId="38" fillId="0" borderId="0" xfId="0" applyNumberFormat="1" applyFont="1" applyAlignment="1">
      <alignment horizontal="left" vertical="center"/>
    </xf>
    <xf numFmtId="166" fontId="38" fillId="0" borderId="0" xfId="0" applyNumberFormat="1" applyFont="1" applyAlignment="1">
      <alignment horizontal="left" vertical="center"/>
    </xf>
    <xf numFmtId="2" fontId="38" fillId="0" borderId="0" xfId="0" applyNumberFormat="1" applyFont="1" applyAlignment="1">
      <alignment horizontal="center" vertical="center" wrapText="1"/>
    </xf>
    <xf numFmtId="0" fontId="38" fillId="25" borderId="10" xfId="0" applyFont="1" applyFill="1" applyBorder="1" applyAlignment="1">
      <alignment horizontal="center" vertical="center" wrapText="1"/>
    </xf>
    <xf numFmtId="165" fontId="38" fillId="0" borderId="12" xfId="0" applyNumberFormat="1" applyFont="1" applyBorder="1" applyAlignment="1">
      <alignment horizontal="center" vertical="center"/>
    </xf>
    <xf numFmtId="0" fontId="38" fillId="0" borderId="0" xfId="0" applyFont="1" applyAlignment="1">
      <alignment horizontal="center" vertical="top"/>
    </xf>
    <xf numFmtId="0" fontId="41" fillId="24" borderId="13" xfId="0" applyFont="1" applyFill="1" applyBorder="1" applyAlignment="1">
      <alignment horizontal="center" vertical="top" wrapText="1"/>
    </xf>
    <xf numFmtId="2" fontId="41" fillId="24" borderId="14" xfId="0" applyNumberFormat="1" applyFont="1" applyFill="1" applyBorder="1" applyAlignment="1">
      <alignment horizontal="center" vertical="center" wrapText="1"/>
    </xf>
    <xf numFmtId="0" fontId="41" fillId="24" borderId="14" xfId="0" applyFont="1" applyFill="1" applyBorder="1" applyAlignment="1">
      <alignment horizontal="center" vertical="center" wrapText="1"/>
    </xf>
    <xf numFmtId="0" fontId="41" fillId="24" borderId="15" xfId="0" applyFont="1" applyFill="1" applyBorder="1" applyAlignment="1">
      <alignment horizontal="center" vertical="center" wrapText="1"/>
    </xf>
    <xf numFmtId="0" fontId="38" fillId="0" borderId="17" xfId="0" applyFont="1" applyBorder="1" applyAlignment="1">
      <alignment horizontal="center" vertical="top"/>
    </xf>
    <xf numFmtId="41" fontId="38" fillId="0" borderId="0" xfId="0" applyNumberFormat="1" applyFont="1" applyAlignment="1">
      <alignment horizontal="right" vertical="center"/>
    </xf>
    <xf numFmtId="0" fontId="38" fillId="0" borderId="0" xfId="0" applyFont="1" applyAlignment="1">
      <alignment horizontal="left" vertical="center"/>
    </xf>
    <xf numFmtId="0" fontId="38" fillId="0" borderId="0" xfId="0" applyFont="1" applyAlignment="1">
      <alignment horizontal="left" vertical="center" wrapText="1"/>
    </xf>
    <xf numFmtId="0" fontId="38" fillId="0" borderId="12" xfId="0" applyFont="1" applyBorder="1" applyAlignment="1">
      <alignment horizontal="center" vertical="center"/>
    </xf>
    <xf numFmtId="166" fontId="42" fillId="0" borderId="0" xfId="0" applyNumberFormat="1" applyFont="1" applyAlignment="1">
      <alignment horizontal="left" vertical="center"/>
    </xf>
    <xf numFmtId="0" fontId="42" fillId="0" borderId="0" xfId="0" applyFont="1" applyAlignment="1">
      <alignment vertical="center"/>
    </xf>
    <xf numFmtId="0" fontId="39" fillId="25" borderId="16" xfId="0" quotePrefix="1" applyFont="1" applyFill="1" applyBorder="1" applyAlignment="1">
      <alignment horizontal="center" vertical="top"/>
    </xf>
    <xf numFmtId="0" fontId="39" fillId="0" borderId="11" xfId="0" applyFont="1" applyBorder="1" applyAlignment="1">
      <alignment horizontal="center" vertical="top"/>
    </xf>
    <xf numFmtId="42" fontId="39" fillId="0" borderId="12" xfId="0" applyNumberFormat="1" applyFont="1" applyBorder="1" applyAlignment="1">
      <alignment vertical="center"/>
    </xf>
    <xf numFmtId="166" fontId="43" fillId="0" borderId="0" xfId="0" applyNumberFormat="1" applyFont="1" applyAlignment="1">
      <alignment horizontal="left" vertical="center"/>
    </xf>
    <xf numFmtId="0" fontId="44" fillId="25" borderId="10" xfId="0" applyFont="1" applyFill="1" applyBorder="1" applyAlignment="1">
      <alignment vertical="center" wrapText="1"/>
    </xf>
    <xf numFmtId="41" fontId="45" fillId="0" borderId="0" xfId="0" applyNumberFormat="1" applyFont="1" applyAlignment="1">
      <alignment horizontal="right" vertical="center"/>
    </xf>
    <xf numFmtId="2" fontId="39" fillId="0" borderId="0" xfId="0" applyNumberFormat="1" applyFont="1" applyAlignment="1">
      <alignment vertical="center" wrapText="1"/>
    </xf>
    <xf numFmtId="0" fontId="38" fillId="0" borderId="0" xfId="0" applyFont="1" applyAlignment="1">
      <alignment vertical="center" wrapText="1"/>
    </xf>
    <xf numFmtId="0" fontId="38" fillId="0" borderId="0" xfId="0" applyFont="1" applyAlignment="1">
      <alignment horizontal="left" vertical="top" wrapText="1"/>
    </xf>
    <xf numFmtId="0" fontId="39" fillId="0" borderId="0" xfId="0" applyFont="1" applyAlignment="1">
      <alignment horizontal="left" vertical="center" wrapText="1"/>
    </xf>
    <xf numFmtId="0" fontId="38" fillId="0" borderId="0" xfId="0" applyFont="1" applyAlignment="1">
      <alignment vertical="top" wrapText="1"/>
    </xf>
    <xf numFmtId="0" fontId="39" fillId="0" borderId="0" xfId="0" applyFont="1" applyAlignment="1">
      <alignment vertical="center"/>
    </xf>
    <xf numFmtId="0" fontId="45" fillId="0" borderId="0" xfId="0" applyFont="1" applyAlignment="1">
      <alignment horizontal="left" vertical="center" wrapText="1"/>
    </xf>
    <xf numFmtId="0" fontId="38" fillId="0" borderId="0" xfId="0" quotePrefix="1" applyFont="1" applyAlignment="1">
      <alignment horizontal="left" vertical="center" wrapText="1"/>
    </xf>
    <xf numFmtId="0" fontId="45" fillId="0" borderId="0" xfId="0" applyFont="1" applyAlignment="1">
      <alignment horizontal="justify" vertical="center" wrapText="1"/>
    </xf>
    <xf numFmtId="0" fontId="45" fillId="0" borderId="0" xfId="0" applyFont="1" applyAlignment="1">
      <alignment horizontal="left" vertical="center"/>
    </xf>
    <xf numFmtId="0" fontId="39" fillId="0" borderId="0" xfId="0" applyFont="1" applyAlignment="1">
      <alignment vertical="center" wrapText="1"/>
    </xf>
    <xf numFmtId="2" fontId="54" fillId="0" borderId="0" xfId="0" applyNumberFormat="1" applyFont="1" applyAlignment="1">
      <alignment vertical="center" wrapText="1"/>
    </xf>
    <xf numFmtId="2" fontId="55" fillId="0" borderId="0" xfId="0" applyNumberFormat="1" applyFont="1" applyAlignment="1">
      <alignment vertical="center" wrapText="1"/>
    </xf>
    <xf numFmtId="0" fontId="39" fillId="0" borderId="0" xfId="0" applyFont="1" applyAlignment="1">
      <alignment horizontal="center" vertical="center"/>
    </xf>
    <xf numFmtId="0" fontId="39" fillId="0" borderId="11" xfId="0" applyFont="1" applyBorder="1" applyAlignment="1">
      <alignment horizontal="left" vertical="top"/>
    </xf>
    <xf numFmtId="0" fontId="38" fillId="0" borderId="21" xfId="0" applyFont="1" applyBorder="1" applyAlignment="1">
      <alignment horizontal="center" vertical="top"/>
    </xf>
    <xf numFmtId="0" fontId="39" fillId="0" borderId="0" xfId="0" applyFont="1" applyAlignment="1">
      <alignment horizontal="left" vertical="top"/>
    </xf>
    <xf numFmtId="0" fontId="39" fillId="25" borderId="24" xfId="0" quotePrefix="1" applyFont="1" applyFill="1" applyBorder="1" applyAlignment="1">
      <alignment horizontal="center" vertical="top"/>
    </xf>
    <xf numFmtId="0" fontId="38" fillId="0" borderId="27" xfId="0" applyFont="1" applyBorder="1" applyAlignment="1">
      <alignment horizontal="center" vertical="top"/>
    </xf>
    <xf numFmtId="2" fontId="17" fillId="0" borderId="0" xfId="0" applyNumberFormat="1" applyFont="1" applyAlignment="1">
      <alignment horizontal="left" vertical="top"/>
    </xf>
    <xf numFmtId="2" fontId="38" fillId="0" borderId="0" xfId="0" applyNumberFormat="1" applyFont="1" applyAlignment="1">
      <alignment horizontal="center" vertical="top"/>
    </xf>
    <xf numFmtId="2" fontId="38" fillId="0" borderId="0" xfId="0" applyNumberFormat="1" applyFont="1" applyAlignment="1">
      <alignment horizontal="left" vertical="top"/>
    </xf>
    <xf numFmtId="2" fontId="38" fillId="0" borderId="0" xfId="0" applyNumberFormat="1" applyFont="1" applyAlignment="1">
      <alignment vertical="top"/>
    </xf>
    <xf numFmtId="0" fontId="38" fillId="0" borderId="0" xfId="0" applyFont="1" applyAlignment="1">
      <alignment vertical="top"/>
    </xf>
    <xf numFmtId="2" fontId="17" fillId="0" borderId="0" xfId="0" applyNumberFormat="1" applyFont="1" applyAlignment="1">
      <alignment horizontal="right" vertical="top"/>
    </xf>
    <xf numFmtId="165" fontId="38" fillId="0" borderId="0" xfId="0" applyNumberFormat="1" applyFont="1" applyAlignment="1">
      <alignment vertical="top"/>
    </xf>
    <xf numFmtId="2" fontId="38" fillId="0" borderId="0" xfId="0" applyNumberFormat="1" applyFont="1" applyAlignment="1">
      <alignment vertical="top" wrapText="1"/>
    </xf>
    <xf numFmtId="2" fontId="38" fillId="0" borderId="0" xfId="0" applyNumberFormat="1" applyFont="1" applyAlignment="1">
      <alignment horizontal="center" vertical="top" wrapText="1"/>
    </xf>
    <xf numFmtId="165" fontId="39" fillId="0" borderId="0" xfId="0" applyNumberFormat="1" applyFont="1" applyAlignment="1">
      <alignment horizontal="center" vertical="top"/>
    </xf>
    <xf numFmtId="164" fontId="39" fillId="0" borderId="0" xfId="0" applyNumberFormat="1" applyFont="1" applyAlignment="1">
      <alignment horizontal="center" vertical="top"/>
    </xf>
    <xf numFmtId="2" fontId="41" fillId="24" borderId="14" xfId="0" applyNumberFormat="1" applyFont="1" applyFill="1" applyBorder="1" applyAlignment="1">
      <alignment horizontal="center" vertical="top" wrapText="1"/>
    </xf>
    <xf numFmtId="0" fontId="41" fillId="24" borderId="14" xfId="0" applyFont="1" applyFill="1" applyBorder="1" applyAlignment="1">
      <alignment horizontal="center" vertical="top" wrapText="1"/>
    </xf>
    <xf numFmtId="0" fontId="41" fillId="24" borderId="15" xfId="0" applyFont="1" applyFill="1" applyBorder="1" applyAlignment="1">
      <alignment horizontal="center" vertical="top" wrapText="1"/>
    </xf>
    <xf numFmtId="0" fontId="40" fillId="0" borderId="0" xfId="0" applyFont="1" applyAlignment="1">
      <alignment horizontal="center" vertical="top" wrapText="1"/>
    </xf>
    <xf numFmtId="0" fontId="44" fillId="25" borderId="25" xfId="0" applyFont="1" applyFill="1" applyBorder="1" applyAlignment="1">
      <alignment vertical="top" wrapText="1"/>
    </xf>
    <xf numFmtId="0" fontId="38" fillId="25" borderId="25" xfId="0" applyFont="1" applyFill="1" applyBorder="1" applyAlignment="1">
      <alignment horizontal="center" vertical="top" wrapText="1"/>
    </xf>
    <xf numFmtId="0" fontId="38" fillId="25" borderId="25" xfId="0" applyFont="1" applyFill="1" applyBorder="1" applyAlignment="1">
      <alignment horizontal="center" vertical="top"/>
    </xf>
    <xf numFmtId="0" fontId="38" fillId="25" borderId="25" xfId="0" applyFont="1" applyFill="1" applyBorder="1" applyAlignment="1">
      <alignment vertical="top" wrapText="1"/>
    </xf>
    <xf numFmtId="165" fontId="38" fillId="25" borderId="26" xfId="0" applyNumberFormat="1" applyFont="1" applyFill="1" applyBorder="1" applyAlignment="1">
      <alignment vertical="top"/>
    </xf>
    <xf numFmtId="0" fontId="38" fillId="0" borderId="19" xfId="0" applyFont="1" applyBorder="1" applyAlignment="1">
      <alignment vertical="top"/>
    </xf>
    <xf numFmtId="0" fontId="45" fillId="0" borderId="28" xfId="0" applyFont="1" applyBorder="1" applyAlignment="1">
      <alignment horizontal="justify" vertical="top" wrapText="1"/>
    </xf>
    <xf numFmtId="41" fontId="45" fillId="0" borderId="28" xfId="0" applyNumberFormat="1" applyFont="1" applyBorder="1" applyAlignment="1">
      <alignment horizontal="right" vertical="top"/>
    </xf>
    <xf numFmtId="9" fontId="45" fillId="0" borderId="28" xfId="0" applyNumberFormat="1" applyFont="1" applyBorder="1" applyAlignment="1">
      <alignment horizontal="right" vertical="top"/>
    </xf>
    <xf numFmtId="0" fontId="38" fillId="0" borderId="28" xfId="0" applyFont="1" applyBorder="1" applyAlignment="1">
      <alignment horizontal="center" vertical="top"/>
    </xf>
    <xf numFmtId="166" fontId="38" fillId="0" borderId="28" xfId="0" applyNumberFormat="1" applyFont="1" applyBorder="1" applyAlignment="1">
      <alignment horizontal="left" vertical="top"/>
    </xf>
    <xf numFmtId="42" fontId="38" fillId="0" borderId="29" xfId="0" applyNumberFormat="1" applyFont="1" applyBorder="1" applyAlignment="1">
      <alignment horizontal="left" vertical="top"/>
    </xf>
    <xf numFmtId="0" fontId="38" fillId="0" borderId="0" xfId="0" applyFont="1" applyAlignment="1">
      <alignment horizontal="justify" vertical="top" wrapText="1"/>
    </xf>
    <xf numFmtId="41" fontId="45" fillId="0" borderId="0" xfId="0" applyNumberFormat="1" applyFont="1" applyAlignment="1">
      <alignment horizontal="right" vertical="top"/>
    </xf>
    <xf numFmtId="9" fontId="45" fillId="0" borderId="0" xfId="0" applyNumberFormat="1" applyFont="1" applyAlignment="1">
      <alignment horizontal="right" vertical="top"/>
    </xf>
    <xf numFmtId="166" fontId="38" fillId="0" borderId="0" xfId="0" applyNumberFormat="1" applyFont="1" applyAlignment="1">
      <alignment horizontal="left" vertical="top"/>
    </xf>
    <xf numFmtId="42" fontId="38" fillId="0" borderId="20" xfId="0" applyNumberFormat="1" applyFont="1" applyBorder="1" applyAlignment="1">
      <alignment horizontal="left" vertical="top"/>
    </xf>
    <xf numFmtId="0" fontId="38" fillId="0" borderId="0" xfId="0" quotePrefix="1" applyFont="1" applyAlignment="1">
      <alignment horizontal="justify" vertical="top" wrapText="1"/>
    </xf>
    <xf numFmtId="0" fontId="45" fillId="0" borderId="0" xfId="0" applyFont="1" applyAlignment="1">
      <alignment horizontal="left" vertical="top"/>
    </xf>
    <xf numFmtId="0" fontId="42" fillId="0" borderId="19" xfId="0" applyFont="1" applyBorder="1" applyAlignment="1">
      <alignment vertical="top"/>
    </xf>
    <xf numFmtId="0" fontId="42" fillId="0" borderId="0" xfId="0" applyFont="1" applyAlignment="1">
      <alignment vertical="top"/>
    </xf>
    <xf numFmtId="41" fontId="38" fillId="0" borderId="0" xfId="0" applyNumberFormat="1" applyFont="1" applyAlignment="1">
      <alignment horizontal="right" vertical="top"/>
    </xf>
    <xf numFmtId="0" fontId="45" fillId="0" borderId="0" xfId="0" applyFont="1" applyAlignment="1">
      <alignment horizontal="justify" vertical="top" wrapText="1"/>
    </xf>
    <xf numFmtId="0" fontId="45" fillId="0" borderId="22" xfId="0" applyFont="1" applyBorder="1" applyAlignment="1">
      <alignment horizontal="justify" vertical="top" wrapText="1"/>
    </xf>
    <xf numFmtId="41" fontId="38" fillId="0" borderId="22" xfId="0" applyNumberFormat="1" applyFont="1" applyBorder="1" applyAlignment="1">
      <alignment horizontal="right" vertical="top"/>
    </xf>
    <xf numFmtId="9" fontId="38" fillId="0" borderId="22" xfId="0" applyNumberFormat="1" applyFont="1" applyBorder="1" applyAlignment="1">
      <alignment horizontal="right" vertical="top"/>
    </xf>
    <xf numFmtId="41" fontId="45" fillId="0" borderId="22" xfId="0" applyNumberFormat="1" applyFont="1" applyBorder="1" applyAlignment="1">
      <alignment horizontal="right" vertical="top"/>
    </xf>
    <xf numFmtId="0" fontId="38" fillId="0" borderId="22" xfId="0" applyFont="1" applyBorder="1" applyAlignment="1">
      <alignment horizontal="center" vertical="top"/>
    </xf>
    <xf numFmtId="166" fontId="38" fillId="0" borderId="22" xfId="0" applyNumberFormat="1" applyFont="1" applyBorder="1" applyAlignment="1">
      <alignment horizontal="left" vertical="top"/>
    </xf>
    <xf numFmtId="42" fontId="38" fillId="0" borderId="23" xfId="0" applyNumberFormat="1" applyFont="1" applyBorder="1" applyAlignment="1">
      <alignment horizontal="left" vertical="top"/>
    </xf>
    <xf numFmtId="42" fontId="38" fillId="0" borderId="0" xfId="0" applyNumberFormat="1" applyFont="1" applyAlignment="1">
      <alignment horizontal="left" vertical="top"/>
    </xf>
    <xf numFmtId="0" fontId="38" fillId="0" borderId="12" xfId="0" applyFont="1" applyBorder="1" applyAlignment="1">
      <alignment vertical="top"/>
    </xf>
    <xf numFmtId="165" fontId="38" fillId="0" borderId="12" xfId="0" applyNumberFormat="1" applyFont="1" applyBorder="1" applyAlignment="1">
      <alignment horizontal="center" vertical="top"/>
    </xf>
    <xf numFmtId="0" fontId="38" fillId="0" borderId="12" xfId="0" applyFont="1" applyBorder="1" applyAlignment="1">
      <alignment horizontal="center" vertical="top"/>
    </xf>
    <xf numFmtId="0" fontId="38" fillId="0" borderId="12" xfId="0" applyFont="1" applyBorder="1" applyAlignment="1">
      <alignment horizontal="right" vertical="top" wrapText="1"/>
    </xf>
    <xf numFmtId="42" fontId="39" fillId="0" borderId="18" xfId="0" applyNumberFormat="1" applyFont="1" applyBorder="1" applyAlignment="1">
      <alignment vertical="top"/>
    </xf>
    <xf numFmtId="167" fontId="39" fillId="0" borderId="18" xfId="0" applyNumberFormat="1" applyFont="1" applyBorder="1" applyAlignment="1">
      <alignment vertical="top"/>
    </xf>
    <xf numFmtId="165" fontId="38" fillId="0" borderId="0" xfId="0" applyNumberFormat="1" applyFont="1" applyAlignment="1">
      <alignment horizontal="center" vertical="top"/>
    </xf>
    <xf numFmtId="0" fontId="38" fillId="0" borderId="0" xfId="0" applyFont="1" applyAlignment="1">
      <alignment horizontal="right" vertical="top" wrapText="1"/>
    </xf>
    <xf numFmtId="42" fontId="39" fillId="0" borderId="0" xfId="0" applyNumberFormat="1" applyFont="1" applyAlignment="1">
      <alignment vertical="top"/>
    </xf>
    <xf numFmtId="2" fontId="39" fillId="0" borderId="0" xfId="0" applyNumberFormat="1" applyFont="1" applyAlignment="1">
      <alignment vertical="top" wrapText="1"/>
    </xf>
    <xf numFmtId="0" fontId="39" fillId="0" borderId="0" xfId="0" applyFont="1" applyAlignment="1">
      <alignment vertical="top"/>
    </xf>
    <xf numFmtId="0" fontId="41" fillId="24" borderId="30" xfId="0" applyFont="1" applyFill="1" applyBorder="1" applyAlignment="1">
      <alignment horizontal="center" vertical="top" wrapText="1"/>
    </xf>
    <xf numFmtId="0" fontId="39" fillId="25" borderId="25" xfId="0" quotePrefix="1" applyFont="1" applyFill="1" applyBorder="1" applyAlignment="1">
      <alignment horizontal="center" vertical="top"/>
    </xf>
    <xf numFmtId="0" fontId="39" fillId="0" borderId="12" xfId="0" applyFont="1" applyBorder="1" applyAlignment="1">
      <alignment horizontal="left" vertical="top"/>
    </xf>
    <xf numFmtId="0" fontId="39" fillId="25" borderId="0" xfId="0" applyFont="1" applyFill="1" applyAlignment="1">
      <alignment vertical="top"/>
    </xf>
    <xf numFmtId="0" fontId="38" fillId="0" borderId="32" xfId="0" applyFont="1" applyBorder="1" applyAlignment="1">
      <alignment horizontal="center" vertical="center"/>
    </xf>
    <xf numFmtId="0" fontId="39" fillId="26" borderId="19" xfId="0" applyFont="1" applyFill="1" applyBorder="1" applyAlignment="1">
      <alignment horizontal="center" vertical="center"/>
    </xf>
    <xf numFmtId="0" fontId="38" fillId="26" borderId="31" xfId="0" applyFont="1" applyFill="1" applyBorder="1" applyAlignment="1">
      <alignment horizontal="center" vertical="center"/>
    </xf>
    <xf numFmtId="0" fontId="38" fillId="0" borderId="32" xfId="0" applyFont="1" applyBorder="1" applyAlignment="1">
      <alignment horizontal="center" vertical="center" wrapText="1"/>
    </xf>
    <xf numFmtId="42" fontId="39" fillId="0" borderId="18" xfId="0" applyNumberFormat="1" applyFont="1" applyBorder="1" applyAlignment="1">
      <alignment vertical="center"/>
    </xf>
    <xf numFmtId="168" fontId="39" fillId="0" borderId="41" xfId="55" applyNumberFormat="1" applyFont="1" applyFill="1" applyBorder="1" applyAlignment="1">
      <alignment vertical="center"/>
    </xf>
    <xf numFmtId="167" fontId="38" fillId="26" borderId="40" xfId="0" applyNumberFormat="1" applyFont="1" applyFill="1" applyBorder="1" applyAlignment="1">
      <alignment vertical="center"/>
    </xf>
    <xf numFmtId="167" fontId="38" fillId="0" borderId="37" xfId="0" applyNumberFormat="1" applyFont="1" applyBorder="1" applyAlignment="1">
      <alignment vertical="center"/>
    </xf>
    <xf numFmtId="1" fontId="38" fillId="26" borderId="31" xfId="0" applyNumberFormat="1" applyFont="1" applyFill="1" applyBorder="1" applyAlignment="1">
      <alignment horizontal="center" vertical="center"/>
    </xf>
    <xf numFmtId="9" fontId="38" fillId="26" borderId="31" xfId="0" applyNumberFormat="1" applyFont="1" applyFill="1" applyBorder="1" applyAlignment="1">
      <alignment horizontal="center" vertical="center"/>
    </xf>
    <xf numFmtId="44" fontId="38" fillId="0" borderId="0" xfId="54" applyFont="1" applyFill="1" applyBorder="1" applyAlignment="1" applyProtection="1">
      <alignment horizontal="center" vertical="center"/>
    </xf>
    <xf numFmtId="44" fontId="38" fillId="0" borderId="0" xfId="54" applyFont="1" applyFill="1" applyBorder="1" applyAlignment="1">
      <alignment vertical="center"/>
    </xf>
    <xf numFmtId="9" fontId="39" fillId="0" borderId="41" xfId="55" applyFont="1" applyFill="1" applyBorder="1" applyAlignment="1">
      <alignment vertical="center"/>
    </xf>
    <xf numFmtId="0" fontId="39" fillId="25" borderId="42" xfId="0" applyFont="1" applyFill="1" applyBorder="1" applyAlignment="1">
      <alignment horizontal="right" vertical="center"/>
    </xf>
    <xf numFmtId="1" fontId="38" fillId="25" borderId="35" xfId="0" applyNumberFormat="1" applyFont="1" applyFill="1" applyBorder="1" applyAlignment="1">
      <alignment horizontal="center" vertical="center"/>
    </xf>
    <xf numFmtId="9" fontId="38" fillId="25" borderId="35" xfId="0" applyNumberFormat="1" applyFont="1" applyFill="1" applyBorder="1" applyAlignment="1">
      <alignment horizontal="center" vertical="center"/>
    </xf>
    <xf numFmtId="0" fontId="38" fillId="25" borderId="35" xfId="0" applyFont="1" applyFill="1" applyBorder="1" applyAlignment="1">
      <alignment horizontal="center" vertical="center"/>
    </xf>
    <xf numFmtId="167" fontId="38" fillId="26" borderId="31" xfId="0" applyNumberFormat="1" applyFont="1" applyFill="1" applyBorder="1" applyAlignment="1">
      <alignment vertical="center"/>
    </xf>
    <xf numFmtId="0" fontId="41" fillId="28" borderId="43" xfId="0" applyFont="1" applyFill="1" applyBorder="1" applyAlignment="1">
      <alignment horizontal="center" vertical="center" wrapText="1"/>
    </xf>
    <xf numFmtId="0" fontId="41" fillId="28" borderId="44" xfId="0" applyFont="1" applyFill="1" applyBorder="1" applyAlignment="1">
      <alignment horizontal="center" vertical="center" wrapText="1"/>
    </xf>
    <xf numFmtId="2" fontId="41" fillId="28" borderId="45" xfId="0" applyNumberFormat="1" applyFont="1" applyFill="1" applyBorder="1" applyAlignment="1">
      <alignment horizontal="center" vertical="center" wrapText="1"/>
    </xf>
    <xf numFmtId="1" fontId="41" fillId="28" borderId="45" xfId="0" applyNumberFormat="1" applyFont="1" applyFill="1" applyBorder="1" applyAlignment="1">
      <alignment horizontal="center" vertical="center" wrapText="1"/>
    </xf>
    <xf numFmtId="0" fontId="41" fillId="28" borderId="45" xfId="0" applyFont="1" applyFill="1" applyBorder="1" applyAlignment="1">
      <alignment horizontal="center" vertical="center" wrapText="1"/>
    </xf>
    <xf numFmtId="2" fontId="41" fillId="28" borderId="46" xfId="0" applyNumberFormat="1" applyFont="1" applyFill="1" applyBorder="1" applyAlignment="1">
      <alignment horizontal="center" vertical="center" wrapText="1"/>
    </xf>
    <xf numFmtId="169" fontId="39" fillId="26" borderId="47" xfId="0" applyNumberFormat="1" applyFont="1" applyFill="1" applyBorder="1" applyAlignment="1">
      <alignment horizontal="center" vertical="center"/>
    </xf>
    <xf numFmtId="2" fontId="38" fillId="25" borderId="35" xfId="0" applyNumberFormat="1" applyFont="1" applyFill="1" applyBorder="1" applyAlignment="1">
      <alignment horizontal="center" vertical="center"/>
    </xf>
    <xf numFmtId="44" fontId="38" fillId="0" borderId="0" xfId="54" applyFont="1" applyBorder="1" applyAlignment="1">
      <alignment horizontal="center" vertical="center"/>
    </xf>
    <xf numFmtId="0" fontId="39" fillId="0" borderId="12" xfId="0" applyFont="1" applyBorder="1" applyAlignment="1">
      <alignment horizontal="right" vertical="center"/>
    </xf>
    <xf numFmtId="42" fontId="39" fillId="26" borderId="18" xfId="0" applyNumberFormat="1" applyFont="1" applyFill="1" applyBorder="1" applyAlignment="1">
      <alignment vertical="center"/>
    </xf>
    <xf numFmtId="44" fontId="38" fillId="0" borderId="0" xfId="73" applyFont="1" applyFill="1" applyBorder="1" applyAlignment="1" applyProtection="1">
      <alignment horizontal="center" vertical="center"/>
    </xf>
    <xf numFmtId="44" fontId="41" fillId="28" borderId="45" xfId="73" applyFont="1" applyFill="1" applyBorder="1" applyAlignment="1" applyProtection="1">
      <alignment horizontal="center" vertical="center" wrapText="1"/>
    </xf>
    <xf numFmtId="44" fontId="38" fillId="25" borderId="35" xfId="73" applyFont="1" applyFill="1" applyBorder="1" applyAlignment="1" applyProtection="1">
      <alignment horizontal="center" vertical="center"/>
    </xf>
    <xf numFmtId="44" fontId="38" fillId="25" borderId="35" xfId="73" applyFont="1" applyFill="1" applyBorder="1" applyAlignment="1">
      <alignment vertical="center"/>
    </xf>
    <xf numFmtId="44" fontId="39" fillId="25" borderId="35" xfId="73" applyFont="1" applyFill="1" applyBorder="1" applyAlignment="1">
      <alignment vertical="center"/>
    </xf>
    <xf numFmtId="167" fontId="39" fillId="25" borderId="36" xfId="73" applyNumberFormat="1" applyFont="1" applyFill="1" applyBorder="1" applyAlignment="1">
      <alignment vertical="center"/>
    </xf>
    <xf numFmtId="44" fontId="38" fillId="26" borderId="31" xfId="73" applyFont="1" applyFill="1" applyBorder="1" applyAlignment="1" applyProtection="1">
      <alignment horizontal="center" vertical="center"/>
    </xf>
    <xf numFmtId="44" fontId="38" fillId="26" borderId="31" xfId="73" applyFont="1" applyFill="1" applyBorder="1" applyAlignment="1">
      <alignment vertical="center"/>
    </xf>
    <xf numFmtId="44" fontId="38" fillId="25" borderId="35" xfId="73" applyFont="1" applyFill="1" applyBorder="1" applyAlignment="1">
      <alignment horizontal="center" vertical="center"/>
    </xf>
    <xf numFmtId="0" fontId="38" fillId="26" borderId="48" xfId="0" applyFont="1" applyFill="1" applyBorder="1" applyAlignment="1">
      <alignment horizontal="center" vertical="center"/>
    </xf>
    <xf numFmtId="0" fontId="38" fillId="26" borderId="42" xfId="0" applyFont="1" applyFill="1" applyBorder="1" applyAlignment="1">
      <alignment horizontal="center" vertical="center"/>
    </xf>
    <xf numFmtId="169" fontId="39" fillId="26" borderId="42" xfId="0" applyNumberFormat="1" applyFont="1" applyFill="1" applyBorder="1" applyAlignment="1">
      <alignment horizontal="center" vertical="center"/>
    </xf>
    <xf numFmtId="0" fontId="39" fillId="26" borderId="49" xfId="0" applyFont="1" applyFill="1" applyBorder="1" applyAlignment="1">
      <alignment horizontal="center" vertical="center"/>
    </xf>
    <xf numFmtId="1" fontId="38" fillId="26" borderId="42" xfId="0" applyNumberFormat="1" applyFont="1" applyFill="1" applyBorder="1" applyAlignment="1">
      <alignment horizontal="center" vertical="center"/>
    </xf>
    <xf numFmtId="9" fontId="38" fillId="26" borderId="42" xfId="0" applyNumberFormat="1" applyFont="1" applyFill="1" applyBorder="1" applyAlignment="1">
      <alignment horizontal="center" vertical="center"/>
    </xf>
    <xf numFmtId="44" fontId="38" fillId="26" borderId="42" xfId="73" applyFont="1" applyFill="1" applyBorder="1" applyAlignment="1" applyProtection="1">
      <alignment horizontal="center" vertical="center"/>
    </xf>
    <xf numFmtId="44" fontId="38" fillId="26" borderId="42" xfId="73" applyFont="1" applyFill="1" applyBorder="1" applyAlignment="1">
      <alignment vertical="center"/>
    </xf>
    <xf numFmtId="167" fontId="38" fillId="26" borderId="42" xfId="0" applyNumberFormat="1" applyFont="1" applyFill="1" applyBorder="1" applyAlignment="1">
      <alignment vertical="center"/>
    </xf>
    <xf numFmtId="167" fontId="38" fillId="26" borderId="50" xfId="0" applyNumberFormat="1" applyFont="1" applyFill="1" applyBorder="1" applyAlignment="1">
      <alignment vertical="center"/>
    </xf>
    <xf numFmtId="167" fontId="39" fillId="26" borderId="41" xfId="0" applyNumberFormat="1" applyFont="1" applyFill="1" applyBorder="1" applyAlignment="1">
      <alignment vertical="center"/>
    </xf>
    <xf numFmtId="44" fontId="38" fillId="0" borderId="0" xfId="73" applyFont="1" applyBorder="1" applyAlignment="1">
      <alignment horizontal="center" vertical="center"/>
    </xf>
    <xf numFmtId="44" fontId="38" fillId="0" borderId="0" xfId="73" applyFont="1" applyFill="1" applyBorder="1" applyAlignment="1">
      <alignment vertical="center"/>
    </xf>
    <xf numFmtId="1" fontId="38" fillId="0" borderId="0" xfId="0" applyNumberFormat="1" applyFont="1" applyAlignment="1">
      <alignment horizontal="center" vertical="center"/>
    </xf>
    <xf numFmtId="9" fontId="38" fillId="0" borderId="0" xfId="0" applyNumberFormat="1" applyFont="1" applyAlignment="1">
      <alignment horizontal="center" vertical="center"/>
    </xf>
    <xf numFmtId="167" fontId="38" fillId="0" borderId="0" xfId="0" applyNumberFormat="1" applyFont="1" applyAlignment="1">
      <alignment vertical="center"/>
    </xf>
    <xf numFmtId="0" fontId="38" fillId="0" borderId="0" xfId="0" applyFont="1" applyAlignment="1">
      <alignment horizontal="center" vertical="center" wrapText="1"/>
    </xf>
    <xf numFmtId="0" fontId="38" fillId="26" borderId="51" xfId="0" applyFont="1" applyFill="1" applyBorder="1" applyAlignment="1">
      <alignment horizontal="center" vertical="center"/>
    </xf>
    <xf numFmtId="0" fontId="45" fillId="0" borderId="0" xfId="58" applyFont="1" applyAlignment="1">
      <alignment vertical="center" wrapText="1"/>
    </xf>
    <xf numFmtId="1" fontId="45" fillId="0" borderId="0" xfId="58" applyNumberFormat="1" applyFont="1" applyAlignment="1">
      <alignment horizontal="center" vertical="center"/>
    </xf>
    <xf numFmtId="0" fontId="60" fillId="33" borderId="0" xfId="58" applyFont="1" applyFill="1" applyAlignment="1">
      <alignment horizontal="center" vertical="center" wrapText="1"/>
    </xf>
    <xf numFmtId="0" fontId="55" fillId="0" borderId="0" xfId="58" applyFont="1" applyAlignment="1">
      <alignment vertical="center" wrapText="1"/>
    </xf>
    <xf numFmtId="0" fontId="44" fillId="34" borderId="0" xfId="58" applyFont="1" applyFill="1" applyAlignment="1">
      <alignment vertical="center" wrapText="1"/>
    </xf>
    <xf numFmtId="0" fontId="38" fillId="0" borderId="0" xfId="81" applyFont="1" applyAlignment="1">
      <alignment wrapText="1"/>
    </xf>
    <xf numFmtId="0" fontId="39" fillId="0" borderId="11" xfId="0" applyFont="1" applyBorder="1" applyAlignment="1">
      <alignment horizontal="left" vertical="center"/>
    </xf>
    <xf numFmtId="0" fontId="39" fillId="0" borderId="12" xfId="0" applyFont="1" applyBorder="1" applyAlignment="1">
      <alignment horizontal="left" vertical="center"/>
    </xf>
    <xf numFmtId="0" fontId="39" fillId="0" borderId="18" xfId="0" applyFont="1" applyBorder="1" applyAlignment="1">
      <alignment horizontal="left" vertical="center"/>
    </xf>
    <xf numFmtId="2" fontId="41" fillId="26" borderId="34" xfId="0" applyNumberFormat="1" applyFont="1" applyFill="1" applyBorder="1" applyAlignment="1">
      <alignment horizontal="center" vertical="center"/>
    </xf>
    <xf numFmtId="2" fontId="41" fillId="26" borderId="35" xfId="0" applyNumberFormat="1" applyFont="1" applyFill="1" applyBorder="1" applyAlignment="1">
      <alignment horizontal="center" vertical="center"/>
    </xf>
    <xf numFmtId="2" fontId="41" fillId="26" borderId="32" xfId="0" applyNumberFormat="1" applyFont="1" applyFill="1" applyBorder="1" applyAlignment="1">
      <alignment horizontal="center" vertical="center"/>
    </xf>
    <xf numFmtId="2" fontId="41" fillId="26" borderId="0" xfId="0" applyNumberFormat="1" applyFont="1" applyFill="1" applyAlignment="1">
      <alignment horizontal="center" vertical="center"/>
    </xf>
    <xf numFmtId="2" fontId="41" fillId="26" borderId="39" xfId="0" applyNumberFormat="1" applyFont="1" applyFill="1" applyBorder="1" applyAlignment="1">
      <alignment horizontal="center" vertical="center"/>
    </xf>
    <xf numFmtId="2" fontId="41" fillId="26" borderId="33" xfId="0" applyNumberFormat="1" applyFont="1" applyFill="1" applyBorder="1" applyAlignment="1">
      <alignment horizontal="center" vertical="center"/>
    </xf>
    <xf numFmtId="0" fontId="57" fillId="27" borderId="34" xfId="0" applyFont="1" applyFill="1" applyBorder="1" applyAlignment="1">
      <alignment horizontal="center" vertical="center" wrapText="1"/>
    </xf>
    <xf numFmtId="0" fontId="57" fillId="27" borderId="35" xfId="0" applyFont="1" applyFill="1" applyBorder="1" applyAlignment="1">
      <alignment horizontal="center" vertical="center" wrapText="1"/>
    </xf>
    <xf numFmtId="0" fontId="57" fillId="27" borderId="36" xfId="0" applyFont="1" applyFill="1" applyBorder="1" applyAlignment="1">
      <alignment horizontal="center" vertical="center" wrapText="1"/>
    </xf>
    <xf numFmtId="0" fontId="57" fillId="27" borderId="39" xfId="0" applyFont="1" applyFill="1" applyBorder="1" applyAlignment="1">
      <alignment horizontal="center" vertical="center" wrapText="1"/>
    </xf>
    <xf numFmtId="0" fontId="57" fillId="27" borderId="33" xfId="0" applyFont="1" applyFill="1" applyBorder="1" applyAlignment="1">
      <alignment horizontal="center" vertical="center" wrapText="1"/>
    </xf>
    <xf numFmtId="0" fontId="57" fillId="27" borderId="38" xfId="0" applyFont="1" applyFill="1" applyBorder="1" applyAlignment="1">
      <alignment horizontal="center" vertical="center" wrapText="1"/>
    </xf>
    <xf numFmtId="0" fontId="57" fillId="26" borderId="34" xfId="0" applyFont="1" applyFill="1" applyBorder="1" applyAlignment="1">
      <alignment horizontal="center" vertical="center" wrapText="1"/>
    </xf>
    <xf numFmtId="0" fontId="57" fillId="26" borderId="35" xfId="0" applyFont="1" applyFill="1" applyBorder="1" applyAlignment="1">
      <alignment horizontal="center" vertical="center" wrapText="1"/>
    </xf>
    <xf numFmtId="0" fontId="57" fillId="26" borderId="36" xfId="0" applyFont="1" applyFill="1" applyBorder="1" applyAlignment="1">
      <alignment horizontal="center" vertical="center" wrapText="1"/>
    </xf>
    <xf numFmtId="0" fontId="57" fillId="26" borderId="32" xfId="0" applyFont="1" applyFill="1" applyBorder="1" applyAlignment="1">
      <alignment horizontal="center" vertical="center" wrapText="1"/>
    </xf>
    <xf numFmtId="0" fontId="57" fillId="26" borderId="0" xfId="0" applyFont="1" applyFill="1" applyAlignment="1">
      <alignment horizontal="center" vertical="center" wrapText="1"/>
    </xf>
    <xf numFmtId="0" fontId="57" fillId="26" borderId="37" xfId="0" applyFont="1" applyFill="1" applyBorder="1" applyAlignment="1">
      <alignment horizontal="center" vertical="center" wrapText="1"/>
    </xf>
    <xf numFmtId="0" fontId="57" fillId="26" borderId="39" xfId="0" applyFont="1" applyFill="1" applyBorder="1" applyAlignment="1">
      <alignment horizontal="center" vertical="center" wrapText="1"/>
    </xf>
    <xf numFmtId="0" fontId="57" fillId="26" borderId="33" xfId="0" applyFont="1" applyFill="1" applyBorder="1" applyAlignment="1">
      <alignment horizontal="center" vertical="center" wrapText="1"/>
    </xf>
    <xf numFmtId="0" fontId="57" fillId="26" borderId="38"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8" xfId="0" applyFont="1" applyBorder="1" applyAlignment="1">
      <alignment horizontal="left" vertical="center" wrapText="1"/>
    </xf>
    <xf numFmtId="0" fontId="39" fillId="0" borderId="39" xfId="0" applyFont="1" applyBorder="1" applyAlignment="1">
      <alignment horizontal="left" vertical="center" wrapText="1"/>
    </xf>
    <xf numFmtId="0" fontId="39" fillId="0" borderId="33" xfId="0" applyFont="1" applyBorder="1" applyAlignment="1">
      <alignment horizontal="left" vertical="center" wrapText="1"/>
    </xf>
    <xf numFmtId="0" fontId="39" fillId="0" borderId="38" xfId="0" applyFont="1" applyBorder="1" applyAlignment="1">
      <alignment horizontal="left" vertical="center" wrapText="1"/>
    </xf>
    <xf numFmtId="0" fontId="38" fillId="0" borderId="19" xfId="0" applyFont="1" applyBorder="1" applyAlignment="1">
      <alignment horizontal="center" vertical="top"/>
    </xf>
  </cellXfs>
  <cellStyles count="8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00000000-0005-0000-0000-000007000000}"/>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00000000-0005-0000-0000-00000F000000}"/>
    <cellStyle name="60% - Accent3" xfId="15" builtinId="40" customBuiltin="1"/>
    <cellStyle name="60% - Accent4" xfId="16" builtinId="44" customBuiltin="1"/>
    <cellStyle name="60% - Accent4 2" xfId="69" xr:uid="{00000000-0005-0000-0000-000012000000}"/>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E000000}"/>
    <cellStyle name="Comma 2 2" xfId="48" xr:uid="{00000000-0005-0000-0000-00001F000000}"/>
    <cellStyle name="Comma 2 3" xfId="83" xr:uid="{1AD91AC6-A901-4CE0-A2D5-CF2BA01F81CD}"/>
    <cellStyle name="Comma 3" xfId="82" xr:uid="{4D7549F8-C980-447E-BFF0-83730E0BF667}"/>
    <cellStyle name="Currency" xfId="54" builtinId="4"/>
    <cellStyle name="Currency 2" xfId="50" xr:uid="{00000000-0005-0000-0000-000021000000}"/>
    <cellStyle name="Currency 3" xfId="73" xr:uid="{00000000-0005-0000-0000-000022000000}"/>
    <cellStyle name="Currency 4" xfId="64" xr:uid="{00000000-0005-0000-0000-000023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75" xr:uid="{00000000-0005-0000-0000-00002B000000}"/>
    <cellStyle name="Input" xfId="34" builtinId="20" customBuiltin="1"/>
    <cellStyle name="Linked Cell" xfId="35" builtinId="24" customBuiltin="1"/>
    <cellStyle name="Neutral" xfId="36" builtinId="28" customBuiltin="1"/>
    <cellStyle name="Normal" xfId="0" builtinId="0"/>
    <cellStyle name="Normal 10" xfId="62" xr:uid="{00000000-0005-0000-0000-000030000000}"/>
    <cellStyle name="Normal 11" xfId="63" xr:uid="{00000000-0005-0000-0000-000031000000}"/>
    <cellStyle name="Normal 12" xfId="66" xr:uid="{00000000-0005-0000-0000-000032000000}"/>
    <cellStyle name="Normal 13" xfId="70" xr:uid="{00000000-0005-0000-0000-000033000000}"/>
    <cellStyle name="Normal 14" xfId="71" xr:uid="{00000000-0005-0000-0000-000034000000}"/>
    <cellStyle name="Normal 15" xfId="76" xr:uid="{00000000-0005-0000-0000-000035000000}"/>
    <cellStyle name="Normal 16" xfId="77" xr:uid="{DC73F034-67DB-44AC-B7B0-F1E7BFC11890}"/>
    <cellStyle name="Normal 17" xfId="79" xr:uid="{4D05C5F8-9209-4967-A2BB-A3BE01E6D18E}"/>
    <cellStyle name="Normal 18" xfId="80" xr:uid="{9EF21E05-0FA2-4121-B343-AF926F2F5C96}"/>
    <cellStyle name="Normal 19" xfId="84" xr:uid="{3A4C63EF-FB07-4DA3-BE40-93681C6ABDFF}"/>
    <cellStyle name="Normal 2" xfId="44" xr:uid="{00000000-0005-0000-0000-000036000000}"/>
    <cellStyle name="Normal 2 2" xfId="47" xr:uid="{00000000-0005-0000-0000-000037000000}"/>
    <cellStyle name="Normal 2 3" xfId="45" xr:uid="{00000000-0005-0000-0000-000038000000}"/>
    <cellStyle name="Normal 2 3 2" xfId="52" xr:uid="{00000000-0005-0000-0000-000039000000}"/>
    <cellStyle name="Normal 2 4" xfId="81" xr:uid="{79AA3ACE-975E-45AA-B41F-5F4E45FFD0C1}"/>
    <cellStyle name="Normal 3" xfId="37" xr:uid="{00000000-0005-0000-0000-00003A000000}"/>
    <cellStyle name="Normal 4" xfId="43" xr:uid="{00000000-0005-0000-0000-00003B000000}"/>
    <cellStyle name="Normal 4 2" xfId="53" xr:uid="{00000000-0005-0000-0000-00003C000000}"/>
    <cellStyle name="Normal 4 3" xfId="51" xr:uid="{00000000-0005-0000-0000-00003D000000}"/>
    <cellStyle name="Normal 5" xfId="49" xr:uid="{00000000-0005-0000-0000-00003E000000}"/>
    <cellStyle name="Normal 6" xfId="56" xr:uid="{00000000-0005-0000-0000-00003F000000}"/>
    <cellStyle name="Normal 7" xfId="57" xr:uid="{00000000-0005-0000-0000-000040000000}"/>
    <cellStyle name="Normal 8" xfId="58" xr:uid="{00000000-0005-0000-0000-000041000000}"/>
    <cellStyle name="Normal 9" xfId="59" xr:uid="{00000000-0005-0000-0000-000042000000}"/>
    <cellStyle name="Note" xfId="38" builtinId="10" customBuiltin="1"/>
    <cellStyle name="Note 10 2 10 2 2 4 2 2 2 2 2 2 2 2 2 2" xfId="65" xr:uid="{00000000-0005-0000-0000-000044000000}"/>
    <cellStyle name="Note 2" xfId="61" xr:uid="{00000000-0005-0000-0000-000045000000}"/>
    <cellStyle name="Note 2 24" xfId="72" xr:uid="{00000000-0005-0000-0000-000046000000}"/>
    <cellStyle name="Output" xfId="39" builtinId="21" customBuiltin="1"/>
    <cellStyle name="Output 2" xfId="74" xr:uid="{00000000-0005-0000-0000-000048000000}"/>
    <cellStyle name="Percent" xfId="55" builtinId="5"/>
    <cellStyle name="Percent 2" xfId="78" xr:uid="{C85AF3C7-BFED-43A4-874B-F4808EADF112}"/>
    <cellStyle name="Style 1" xfId="60" xr:uid="{00000000-0005-0000-0000-00004A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F3F9BF"/>
      <color rgb="FFFFFF66"/>
      <color rgb="FFF4910C"/>
      <color rgb="FFEDB951"/>
      <color rgb="FFF5C337"/>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87736</xdr:colOff>
      <xdr:row>0</xdr:row>
      <xdr:rowOff>103585</xdr:rowOff>
    </xdr:from>
    <xdr:to>
      <xdr:col>1</xdr:col>
      <xdr:colOff>988931</xdr:colOff>
      <xdr:row>3</xdr:row>
      <xdr:rowOff>95979</xdr:rowOff>
    </xdr:to>
    <xdr:pic>
      <xdr:nvPicPr>
        <xdr:cNvPr id="2" name="Picture 1">
          <a:extLst>
            <a:ext uri="{FF2B5EF4-FFF2-40B4-BE49-F238E27FC236}">
              <a16:creationId xmlns:a16="http://schemas.microsoft.com/office/drawing/2014/main" id="{8E8D9FCE-A428-461E-9CBF-A0936B990B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36" y="103585"/>
          <a:ext cx="1539370" cy="4978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U404"/>
  <sheetViews>
    <sheetView tabSelected="1" view="pageBreakPreview" zoomScale="55" zoomScaleNormal="55" zoomScaleSheetLayoutView="55" workbookViewId="0">
      <pane ySplit="5" topLeftCell="A6" activePane="bottomLeft" state="frozen"/>
      <selection pane="bottomLeft" activeCell="C1" sqref="C1:M2"/>
    </sheetView>
  </sheetViews>
  <sheetFormatPr defaultRowHeight="15" x14ac:dyDescent="0.2"/>
  <cols>
    <col min="1" max="1" width="7.44140625" customWidth="1"/>
    <col min="2" max="2" width="12.5546875" customWidth="1"/>
    <col min="3" max="3" width="15.77734375" customWidth="1"/>
    <col min="4" max="4" width="78.44140625" customWidth="1"/>
    <col min="5" max="8" width="8.77734375" customWidth="1"/>
    <col min="9" max="13" width="11.77734375" customWidth="1"/>
    <col min="14" max="14" width="14.21875" customWidth="1"/>
    <col min="15" max="15" width="11.77734375" customWidth="1"/>
    <col min="16" max="16" width="14.77734375" customWidth="1"/>
    <col min="17" max="17" width="2.109375" customWidth="1"/>
  </cols>
  <sheetData>
    <row r="1" spans="1:47" ht="14.1" customHeight="1" x14ac:dyDescent="0.2">
      <c r="A1" s="186"/>
      <c r="B1" s="187"/>
      <c r="C1" s="192" t="s">
        <v>145</v>
      </c>
      <c r="D1" s="193"/>
      <c r="E1" s="193"/>
      <c r="F1" s="193"/>
      <c r="G1" s="193"/>
      <c r="H1" s="193"/>
      <c r="I1" s="193"/>
      <c r="J1" s="193"/>
      <c r="K1" s="193"/>
      <c r="L1" s="193"/>
      <c r="M1" s="194"/>
      <c r="N1" s="198" t="s">
        <v>274</v>
      </c>
      <c r="O1" s="199"/>
      <c r="P1" s="200"/>
    </row>
    <row r="2" spans="1:47" ht="14.1" customHeight="1" thickBot="1" x14ac:dyDescent="0.25">
      <c r="A2" s="188"/>
      <c r="B2" s="189"/>
      <c r="C2" s="195"/>
      <c r="D2" s="196"/>
      <c r="E2" s="196"/>
      <c r="F2" s="196"/>
      <c r="G2" s="196"/>
      <c r="H2" s="196"/>
      <c r="I2" s="196"/>
      <c r="J2" s="196"/>
      <c r="K2" s="196"/>
      <c r="L2" s="196"/>
      <c r="M2" s="197"/>
      <c r="N2" s="201"/>
      <c r="O2" s="202"/>
      <c r="P2" s="203"/>
    </row>
    <row r="3" spans="1:47" ht="14.1" customHeight="1" x14ac:dyDescent="0.2">
      <c r="A3" s="188"/>
      <c r="B3" s="189"/>
      <c r="C3" s="192" t="s">
        <v>266</v>
      </c>
      <c r="D3" s="193"/>
      <c r="E3" s="193"/>
      <c r="F3" s="193"/>
      <c r="G3" s="193"/>
      <c r="H3" s="193"/>
      <c r="I3" s="193"/>
      <c r="J3" s="193"/>
      <c r="K3" s="193"/>
      <c r="L3" s="193"/>
      <c r="M3" s="193"/>
      <c r="N3" s="201"/>
      <c r="O3" s="202"/>
      <c r="P3" s="203"/>
    </row>
    <row r="4" spans="1:47" ht="14.1" customHeight="1" thickBot="1" x14ac:dyDescent="0.25">
      <c r="A4" s="190"/>
      <c r="B4" s="191"/>
      <c r="C4" s="195"/>
      <c r="D4" s="196"/>
      <c r="E4" s="196"/>
      <c r="F4" s="196"/>
      <c r="G4" s="196"/>
      <c r="H4" s="196"/>
      <c r="I4" s="196"/>
      <c r="J4" s="196"/>
      <c r="K4" s="196"/>
      <c r="L4" s="196"/>
      <c r="M4" s="196"/>
      <c r="N4" s="204"/>
      <c r="O4" s="205"/>
      <c r="P4" s="206"/>
    </row>
    <row r="5" spans="1:47" ht="48" thickBot="1" x14ac:dyDescent="0.25">
      <c r="A5" s="139" t="s">
        <v>0</v>
      </c>
      <c r="B5" s="140" t="s">
        <v>1</v>
      </c>
      <c r="C5" s="140" t="s">
        <v>2</v>
      </c>
      <c r="D5" s="141" t="s">
        <v>3</v>
      </c>
      <c r="E5" s="142" t="s">
        <v>4</v>
      </c>
      <c r="F5" s="141" t="s">
        <v>5</v>
      </c>
      <c r="G5" s="142" t="s">
        <v>6</v>
      </c>
      <c r="H5" s="143" t="s">
        <v>7</v>
      </c>
      <c r="I5" s="143" t="s">
        <v>111</v>
      </c>
      <c r="J5" s="143" t="s">
        <v>114</v>
      </c>
      <c r="K5" s="143" t="s">
        <v>112</v>
      </c>
      <c r="L5" s="151" t="s">
        <v>113</v>
      </c>
      <c r="M5" s="151" t="s">
        <v>115</v>
      </c>
      <c r="N5" s="151" t="s">
        <v>116</v>
      </c>
      <c r="O5" s="144" t="s">
        <v>117</v>
      </c>
      <c r="P5" s="144" t="s">
        <v>8</v>
      </c>
    </row>
    <row r="6" spans="1:47" ht="15.75" x14ac:dyDescent="0.2">
      <c r="A6" s="159"/>
      <c r="B6" s="160"/>
      <c r="C6" s="161">
        <v>10000</v>
      </c>
      <c r="D6" s="162" t="s">
        <v>9</v>
      </c>
      <c r="E6" s="163"/>
      <c r="F6" s="164"/>
      <c r="G6" s="163"/>
      <c r="H6" s="160"/>
      <c r="I6" s="160"/>
      <c r="J6" s="160"/>
      <c r="K6" s="160"/>
      <c r="L6" s="165"/>
      <c r="M6" s="165"/>
      <c r="N6" s="166"/>
      <c r="O6" s="167"/>
      <c r="P6" s="168"/>
    </row>
    <row r="7" spans="1:47" s="120" customFormat="1" ht="20.100000000000001" customHeight="1" x14ac:dyDescent="0.2">
      <c r="A7" s="124">
        <f>IF(H7&lt;&gt;"",1+MAX(A1:A6),"")</f>
        <v>1</v>
      </c>
      <c r="B7" s="6"/>
      <c r="C7" s="6"/>
      <c r="D7" s="42" t="s">
        <v>10</v>
      </c>
      <c r="E7" s="172">
        <v>1</v>
      </c>
      <c r="F7" s="173">
        <v>0</v>
      </c>
      <c r="G7" s="172">
        <f t="shared" ref="G7:G12" si="0">E7+(E7*F7)</f>
        <v>1</v>
      </c>
      <c r="H7" s="6" t="s">
        <v>11</v>
      </c>
      <c r="I7" s="3">
        <v>0</v>
      </c>
      <c r="J7" s="3">
        <f t="shared" ref="J7:J12" si="1">I7*G7</f>
        <v>0</v>
      </c>
      <c r="K7" s="147">
        <v>0</v>
      </c>
      <c r="L7" s="131">
        <f t="shared" ref="L7:L12" si="2">K7*J7</f>
        <v>0</v>
      </c>
      <c r="M7" s="131">
        <v>0</v>
      </c>
      <c r="N7" s="132">
        <f t="shared" ref="N7:N12" si="3">M7*G7</f>
        <v>0</v>
      </c>
      <c r="O7" s="174">
        <f t="shared" ref="O7:O12" si="4">L7+N7</f>
        <v>0</v>
      </c>
      <c r="P7" s="128"/>
      <c r="Q7" s="64"/>
      <c r="R7"/>
      <c r="S7"/>
      <c r="T7"/>
      <c r="U7"/>
      <c r="V7"/>
      <c r="W7"/>
      <c r="X7"/>
      <c r="Y7"/>
      <c r="Z7"/>
      <c r="AA7"/>
      <c r="AB7"/>
      <c r="AC7"/>
      <c r="AD7"/>
      <c r="AE7"/>
      <c r="AF7"/>
      <c r="AG7"/>
      <c r="AH7"/>
      <c r="AI7"/>
      <c r="AJ7"/>
      <c r="AK7"/>
      <c r="AL7"/>
      <c r="AM7"/>
      <c r="AN7"/>
      <c r="AO7"/>
      <c r="AP7"/>
      <c r="AQ7"/>
      <c r="AR7"/>
      <c r="AS7"/>
      <c r="AT7"/>
      <c r="AU7"/>
    </row>
    <row r="8" spans="1:47" s="120" customFormat="1" ht="20.100000000000001" customHeight="1" x14ac:dyDescent="0.2">
      <c r="A8" s="124">
        <f t="shared" ref="A8:A16" si="5">IF(H8&lt;&gt;"",1+MAX(A2:A7),"")</f>
        <v>2</v>
      </c>
      <c r="B8" s="6"/>
      <c r="C8" s="6"/>
      <c r="D8" s="42" t="s">
        <v>12</v>
      </c>
      <c r="E8" s="172">
        <v>1</v>
      </c>
      <c r="F8" s="173">
        <v>0</v>
      </c>
      <c r="G8" s="172">
        <f t="shared" si="0"/>
        <v>1</v>
      </c>
      <c r="H8" s="6" t="s">
        <v>11</v>
      </c>
      <c r="I8" s="3">
        <v>0</v>
      </c>
      <c r="J8" s="3">
        <f t="shared" si="1"/>
        <v>0</v>
      </c>
      <c r="K8" s="147">
        <v>0</v>
      </c>
      <c r="L8" s="131">
        <f t="shared" si="2"/>
        <v>0</v>
      </c>
      <c r="M8" s="131">
        <v>0</v>
      </c>
      <c r="N8" s="132">
        <f t="shared" si="3"/>
        <v>0</v>
      </c>
      <c r="O8" s="174">
        <f t="shared" si="4"/>
        <v>0</v>
      </c>
      <c r="P8" s="128"/>
      <c r="Q8" s="64"/>
      <c r="R8"/>
      <c r="S8"/>
      <c r="T8"/>
      <c r="U8"/>
      <c r="V8"/>
      <c r="W8"/>
      <c r="X8"/>
      <c r="Y8"/>
      <c r="Z8"/>
      <c r="AA8"/>
      <c r="AB8"/>
      <c r="AC8"/>
      <c r="AD8"/>
      <c r="AE8"/>
      <c r="AF8"/>
      <c r="AG8"/>
      <c r="AH8"/>
      <c r="AI8"/>
      <c r="AJ8"/>
      <c r="AK8"/>
      <c r="AL8"/>
      <c r="AM8"/>
      <c r="AN8"/>
      <c r="AO8"/>
      <c r="AP8"/>
      <c r="AQ8"/>
      <c r="AR8"/>
      <c r="AS8"/>
      <c r="AT8"/>
      <c r="AU8"/>
    </row>
    <row r="9" spans="1:47" s="120" customFormat="1" ht="20.100000000000001" customHeight="1" x14ac:dyDescent="0.2">
      <c r="A9" s="124">
        <f t="shared" si="5"/>
        <v>3</v>
      </c>
      <c r="B9" s="6"/>
      <c r="C9" s="6"/>
      <c r="D9" s="42" t="s">
        <v>13</v>
      </c>
      <c r="E9" s="172">
        <v>1</v>
      </c>
      <c r="F9" s="173">
        <v>0</v>
      </c>
      <c r="G9" s="172">
        <f t="shared" si="0"/>
        <v>1</v>
      </c>
      <c r="H9" s="6" t="s">
        <v>11</v>
      </c>
      <c r="I9" s="3">
        <v>0</v>
      </c>
      <c r="J9" s="3">
        <f t="shared" si="1"/>
        <v>0</v>
      </c>
      <c r="K9" s="147">
        <v>0</v>
      </c>
      <c r="L9" s="131">
        <f t="shared" si="2"/>
        <v>0</v>
      </c>
      <c r="M9" s="131">
        <v>0</v>
      </c>
      <c r="N9" s="132">
        <f t="shared" si="3"/>
        <v>0</v>
      </c>
      <c r="O9" s="174">
        <f t="shared" si="4"/>
        <v>0</v>
      </c>
      <c r="P9" s="128"/>
      <c r="Q9" s="64"/>
      <c r="R9"/>
      <c r="S9"/>
      <c r="T9"/>
      <c r="U9"/>
      <c r="V9"/>
      <c r="W9"/>
      <c r="X9"/>
      <c r="Y9"/>
      <c r="Z9"/>
      <c r="AA9"/>
      <c r="AB9"/>
      <c r="AC9"/>
      <c r="AD9"/>
      <c r="AE9"/>
      <c r="AF9"/>
      <c r="AG9"/>
      <c r="AH9"/>
      <c r="AI9"/>
      <c r="AJ9"/>
      <c r="AK9"/>
      <c r="AL9"/>
      <c r="AM9"/>
      <c r="AN9"/>
      <c r="AO9"/>
      <c r="AP9"/>
      <c r="AQ9"/>
      <c r="AR9"/>
      <c r="AS9"/>
      <c r="AT9"/>
      <c r="AU9"/>
    </row>
    <row r="10" spans="1:47" s="120" customFormat="1" ht="20.100000000000001" customHeight="1" x14ac:dyDescent="0.2">
      <c r="A10" s="124">
        <f t="shared" si="5"/>
        <v>4</v>
      </c>
      <c r="B10" s="6"/>
      <c r="C10" s="6"/>
      <c r="D10" s="42" t="s">
        <v>14</v>
      </c>
      <c r="E10" s="172">
        <v>1</v>
      </c>
      <c r="F10" s="173">
        <v>0</v>
      </c>
      <c r="G10" s="172">
        <f t="shared" si="0"/>
        <v>1</v>
      </c>
      <c r="H10" s="6" t="s">
        <v>11</v>
      </c>
      <c r="I10" s="3">
        <v>0</v>
      </c>
      <c r="J10" s="3">
        <f t="shared" si="1"/>
        <v>0</v>
      </c>
      <c r="K10" s="147">
        <v>0</v>
      </c>
      <c r="L10" s="131">
        <f t="shared" si="2"/>
        <v>0</v>
      </c>
      <c r="M10" s="131">
        <v>0</v>
      </c>
      <c r="N10" s="132">
        <f t="shared" si="3"/>
        <v>0</v>
      </c>
      <c r="O10" s="174">
        <f t="shared" si="4"/>
        <v>0</v>
      </c>
      <c r="P10" s="128"/>
      <c r="Q10" s="64"/>
      <c r="R10"/>
      <c r="S10"/>
      <c r="T10"/>
      <c r="U10"/>
      <c r="V10"/>
      <c r="W10"/>
      <c r="X10"/>
      <c r="Y10"/>
      <c r="Z10"/>
      <c r="AA10"/>
      <c r="AB10"/>
      <c r="AC10"/>
      <c r="AD10"/>
      <c r="AE10"/>
      <c r="AF10"/>
      <c r="AG10"/>
      <c r="AH10"/>
      <c r="AI10"/>
      <c r="AJ10"/>
      <c r="AK10"/>
      <c r="AL10"/>
      <c r="AM10"/>
      <c r="AN10"/>
      <c r="AO10"/>
      <c r="AP10"/>
      <c r="AQ10"/>
      <c r="AR10"/>
      <c r="AS10"/>
      <c r="AT10"/>
      <c r="AU10"/>
    </row>
    <row r="11" spans="1:47" s="120" customFormat="1" ht="20.100000000000001" customHeight="1" x14ac:dyDescent="0.2">
      <c r="A11" s="124">
        <f t="shared" si="5"/>
        <v>5</v>
      </c>
      <c r="B11" s="6"/>
      <c r="C11" s="6"/>
      <c r="D11" s="42" t="s">
        <v>15</v>
      </c>
      <c r="E11" s="172">
        <v>1</v>
      </c>
      <c r="F11" s="173">
        <v>0</v>
      </c>
      <c r="G11" s="172">
        <f t="shared" si="0"/>
        <v>1</v>
      </c>
      <c r="H11" s="6" t="s">
        <v>11</v>
      </c>
      <c r="I11" s="3">
        <v>0</v>
      </c>
      <c r="J11" s="3">
        <f t="shared" si="1"/>
        <v>0</v>
      </c>
      <c r="K11" s="147">
        <v>0</v>
      </c>
      <c r="L11" s="131">
        <f t="shared" si="2"/>
        <v>0</v>
      </c>
      <c r="M11" s="131">
        <v>0</v>
      </c>
      <c r="N11" s="132">
        <f t="shared" si="3"/>
        <v>0</v>
      </c>
      <c r="O11" s="174">
        <f t="shared" si="4"/>
        <v>0</v>
      </c>
      <c r="P11" s="128"/>
      <c r="Q11" s="64"/>
      <c r="R11"/>
      <c r="S11"/>
      <c r="T11"/>
      <c r="U11"/>
      <c r="V11"/>
      <c r="W11"/>
      <c r="X11"/>
      <c r="Y11"/>
      <c r="Z11"/>
      <c r="AA11"/>
      <c r="AB11"/>
      <c r="AC11"/>
      <c r="AD11"/>
      <c r="AE11"/>
      <c r="AF11"/>
      <c r="AG11"/>
      <c r="AH11"/>
      <c r="AI11"/>
      <c r="AJ11"/>
      <c r="AK11"/>
      <c r="AL11"/>
      <c r="AM11"/>
      <c r="AN11"/>
      <c r="AO11"/>
      <c r="AP11"/>
      <c r="AQ11"/>
      <c r="AR11"/>
      <c r="AS11"/>
      <c r="AT11"/>
      <c r="AU11"/>
    </row>
    <row r="12" spans="1:47" s="120" customFormat="1" ht="20.100000000000001" customHeight="1" thickBot="1" x14ac:dyDescent="0.25">
      <c r="A12" s="124">
        <f t="shared" si="5"/>
        <v>6</v>
      </c>
      <c r="B12" s="6"/>
      <c r="C12" s="6"/>
      <c r="D12" s="42" t="s">
        <v>16</v>
      </c>
      <c r="E12" s="172">
        <v>1</v>
      </c>
      <c r="F12" s="173">
        <v>0</v>
      </c>
      <c r="G12" s="172">
        <f t="shared" si="0"/>
        <v>1</v>
      </c>
      <c r="H12" s="6" t="s">
        <v>11</v>
      </c>
      <c r="I12" s="3">
        <v>0</v>
      </c>
      <c r="J12" s="3">
        <f t="shared" si="1"/>
        <v>0</v>
      </c>
      <c r="K12" s="147">
        <v>0</v>
      </c>
      <c r="L12" s="131">
        <f t="shared" si="2"/>
        <v>0</v>
      </c>
      <c r="M12" s="131">
        <v>0</v>
      </c>
      <c r="N12" s="132">
        <f t="shared" si="3"/>
        <v>0</v>
      </c>
      <c r="O12" s="174">
        <f t="shared" si="4"/>
        <v>0</v>
      </c>
      <c r="P12" s="128"/>
      <c r="Q12" s="64"/>
      <c r="R12"/>
      <c r="S12"/>
      <c r="T12"/>
      <c r="U12"/>
      <c r="V12"/>
      <c r="W12"/>
      <c r="X12"/>
      <c r="Y12"/>
      <c r="Z12"/>
      <c r="AA12"/>
      <c r="AB12"/>
      <c r="AC12"/>
      <c r="AD12"/>
      <c r="AE12"/>
      <c r="AF12"/>
      <c r="AG12"/>
      <c r="AH12"/>
      <c r="AI12"/>
      <c r="AJ12"/>
      <c r="AK12"/>
      <c r="AL12"/>
      <c r="AM12"/>
      <c r="AN12"/>
      <c r="AO12"/>
      <c r="AP12"/>
      <c r="AQ12"/>
      <c r="AR12"/>
      <c r="AS12"/>
      <c r="AT12"/>
      <c r="AU12"/>
    </row>
    <row r="13" spans="1:47" ht="15.75" x14ac:dyDescent="0.2">
      <c r="A13" s="124" t="str">
        <f t="shared" si="5"/>
        <v/>
      </c>
      <c r="B13" s="175"/>
      <c r="C13" s="175"/>
      <c r="D13" s="134" t="s">
        <v>17</v>
      </c>
      <c r="E13" s="135"/>
      <c r="F13" s="136"/>
      <c r="G13" s="135"/>
      <c r="H13" s="137"/>
      <c r="I13" s="146"/>
      <c r="J13" s="146"/>
      <c r="K13" s="158"/>
      <c r="L13" s="152" t="str">
        <f>IF(H13&lt;&gt;"",0.4*N13,"")</f>
        <v/>
      </c>
      <c r="M13" s="152" t="str">
        <f>IF(H13&lt;&gt;"",N13-L13,"")</f>
        <v/>
      </c>
      <c r="N13" s="153"/>
      <c r="O13" s="154"/>
      <c r="P13" s="155">
        <f>SUM(O7:O12)</f>
        <v>0</v>
      </c>
    </row>
    <row r="14" spans="1:47" ht="15.75" x14ac:dyDescent="0.2">
      <c r="A14" s="176" t="str">
        <f t="shared" si="5"/>
        <v/>
      </c>
      <c r="B14" s="123"/>
      <c r="C14" s="145">
        <v>70000</v>
      </c>
      <c r="D14" s="122" t="s">
        <v>122</v>
      </c>
      <c r="E14" s="129"/>
      <c r="F14" s="130"/>
      <c r="G14" s="129"/>
      <c r="H14" s="123"/>
      <c r="I14" s="123"/>
      <c r="J14" s="123"/>
      <c r="K14" s="123"/>
      <c r="L14" s="156" t="str">
        <f>IF(H14&lt;&gt;"",0.4*N14,"")</f>
        <v/>
      </c>
      <c r="M14" s="156" t="str">
        <f>IF(H14&lt;&gt;"",N14-L14,"")</f>
        <v/>
      </c>
      <c r="N14" s="157"/>
      <c r="O14" s="138"/>
      <c r="P14" s="127"/>
    </row>
    <row r="15" spans="1:47" ht="15.75" x14ac:dyDescent="0.2">
      <c r="A15" s="124" t="str">
        <f t="shared" si="5"/>
        <v/>
      </c>
      <c r="B15" s="175"/>
      <c r="C15" s="175"/>
      <c r="D15" s="177"/>
      <c r="E15" s="178"/>
      <c r="F15" s="173"/>
      <c r="G15" s="172"/>
      <c r="H15" s="6"/>
      <c r="I15" s="3"/>
      <c r="J15" s="3"/>
      <c r="K15" s="147"/>
      <c r="L15" s="131"/>
      <c r="M15" s="131"/>
      <c r="N15" s="132"/>
      <c r="O15" s="174"/>
      <c r="P15" s="128"/>
    </row>
    <row r="16" spans="1:47" ht="18.75" x14ac:dyDescent="0.2">
      <c r="A16" s="124" t="str">
        <f t="shared" si="5"/>
        <v/>
      </c>
      <c r="B16" s="175"/>
      <c r="C16" s="175"/>
      <c r="D16" s="179" t="s">
        <v>146</v>
      </c>
      <c r="E16" s="178"/>
      <c r="F16" s="173"/>
      <c r="G16" s="172"/>
      <c r="H16" s="6"/>
      <c r="I16" s="3"/>
      <c r="J16" s="3"/>
      <c r="K16" s="147"/>
      <c r="L16" s="131"/>
      <c r="M16" s="131"/>
      <c r="N16" s="132"/>
      <c r="O16" s="174"/>
      <c r="P16" s="128"/>
    </row>
    <row r="17" spans="1:23" ht="31.5" x14ac:dyDescent="0.2">
      <c r="A17" s="124">
        <f>IF(H17&lt;&gt;"",1+MAX(A7:A16),"")</f>
        <v>7</v>
      </c>
      <c r="B17" s="175" t="s">
        <v>161</v>
      </c>
      <c r="C17" s="175" t="s">
        <v>162</v>
      </c>
      <c r="D17" s="177" t="s">
        <v>149</v>
      </c>
      <c r="E17" s="178">
        <f>1115.21*1.025</f>
        <v>1143.09025</v>
      </c>
      <c r="F17" s="173">
        <v>0.05</v>
      </c>
      <c r="G17" s="172">
        <f t="shared" ref="G17:G18" si="6">E17+(E17*F17)</f>
        <v>1200.2447625</v>
      </c>
      <c r="H17" s="6" t="s">
        <v>120</v>
      </c>
      <c r="I17" s="3">
        <v>3.571125E-2</v>
      </c>
      <c r="J17" s="3">
        <f t="shared" ref="J17:J19" si="7">I17*G17</f>
        <v>42.862240774828123</v>
      </c>
      <c r="K17" s="170">
        <v>48.89</v>
      </c>
      <c r="L17" s="150">
        <f t="shared" ref="L17:L19" si="8">K17*J17</f>
        <v>2095.534951481347</v>
      </c>
      <c r="M17" s="150">
        <v>3.7113</v>
      </c>
      <c r="N17" s="171">
        <f t="shared" ref="N17:N19" si="9">M17*G17</f>
        <v>4454.4683870662502</v>
      </c>
      <c r="O17" s="174">
        <f t="shared" ref="O17:O19" si="10">L17+N17</f>
        <v>6550.0033385475972</v>
      </c>
      <c r="P17" s="128"/>
      <c r="V17" s="3"/>
      <c r="W17" s="150"/>
    </row>
    <row r="18" spans="1:23" ht="18" customHeight="1" x14ac:dyDescent="0.2">
      <c r="A18" s="124">
        <f t="shared" ref="A18:A81" si="11">IF(H18&lt;&gt;"",1+MAX(A8:A17),"")</f>
        <v>8</v>
      </c>
      <c r="B18" s="175" t="s">
        <v>161</v>
      </c>
      <c r="C18" s="175" t="s">
        <v>162</v>
      </c>
      <c r="D18" s="177" t="s">
        <v>147</v>
      </c>
      <c r="E18" s="178">
        <f>1115.21*1.025</f>
        <v>1143.09025</v>
      </c>
      <c r="F18" s="173">
        <v>0.05</v>
      </c>
      <c r="G18" s="172">
        <f t="shared" si="6"/>
        <v>1200.2447625</v>
      </c>
      <c r="H18" s="6" t="s">
        <v>120</v>
      </c>
      <c r="I18" s="3">
        <v>1.5574999999999999E-2</v>
      </c>
      <c r="J18" s="3">
        <f t="shared" si="7"/>
        <v>18.693812175937499</v>
      </c>
      <c r="K18" s="170">
        <v>45.89</v>
      </c>
      <c r="L18" s="150">
        <f t="shared" si="8"/>
        <v>857.85904075377186</v>
      </c>
      <c r="M18" s="150">
        <v>1.157</v>
      </c>
      <c r="N18" s="171">
        <f t="shared" si="9"/>
        <v>1388.6831902125</v>
      </c>
      <c r="O18" s="174">
        <f t="shared" si="10"/>
        <v>2246.5422309662717</v>
      </c>
      <c r="P18" s="128"/>
      <c r="V18" s="3"/>
      <c r="W18" s="150"/>
    </row>
    <row r="19" spans="1:23" ht="47.25" x14ac:dyDescent="0.2">
      <c r="A19" s="124">
        <f t="shared" si="11"/>
        <v>9</v>
      </c>
      <c r="B19" s="175" t="s">
        <v>161</v>
      </c>
      <c r="C19" s="175" t="s">
        <v>162</v>
      </c>
      <c r="D19" s="177" t="s">
        <v>273</v>
      </c>
      <c r="E19" s="178">
        <f>E18*3</f>
        <v>3429.2707499999997</v>
      </c>
      <c r="F19" s="173">
        <v>0.05</v>
      </c>
      <c r="G19" s="172">
        <f t="shared" ref="G19" si="12">E19+(E19*F19)</f>
        <v>3600.7342874999995</v>
      </c>
      <c r="H19" s="6" t="s">
        <v>120</v>
      </c>
      <c r="I19" s="3">
        <v>2.414125E-2</v>
      </c>
      <c r="J19" s="3">
        <f t="shared" si="7"/>
        <v>86.926226618109354</v>
      </c>
      <c r="K19" s="170">
        <v>45.89</v>
      </c>
      <c r="L19" s="150">
        <f t="shared" si="8"/>
        <v>3989.0445395050383</v>
      </c>
      <c r="M19" s="150">
        <v>2.0024999999999999</v>
      </c>
      <c r="N19" s="171">
        <f t="shared" si="9"/>
        <v>7210.470410718749</v>
      </c>
      <c r="O19" s="174">
        <f t="shared" si="10"/>
        <v>11199.514950223787</v>
      </c>
      <c r="P19" s="128"/>
      <c r="V19" s="3"/>
      <c r="W19" s="150"/>
    </row>
    <row r="20" spans="1:23" ht="15.75" x14ac:dyDescent="0.2">
      <c r="A20" s="124" t="str">
        <f t="shared" si="11"/>
        <v/>
      </c>
      <c r="B20" s="175"/>
      <c r="C20" s="175"/>
      <c r="D20" s="177"/>
      <c r="E20" s="178"/>
      <c r="F20" s="173"/>
      <c r="G20" s="172"/>
      <c r="H20" s="6"/>
      <c r="I20" s="3"/>
      <c r="J20" s="3"/>
      <c r="K20" s="147"/>
      <c r="L20" s="131"/>
      <c r="M20" s="131"/>
      <c r="N20" s="132"/>
      <c r="O20" s="174"/>
      <c r="P20" s="128"/>
      <c r="V20" s="3"/>
      <c r="W20" s="150"/>
    </row>
    <row r="21" spans="1:23" ht="18" customHeight="1" x14ac:dyDescent="0.2">
      <c r="A21" s="124" t="str">
        <f t="shared" si="11"/>
        <v/>
      </c>
      <c r="B21" s="175"/>
      <c r="C21" s="175"/>
      <c r="D21" s="180" t="s">
        <v>143</v>
      </c>
      <c r="E21" s="178"/>
      <c r="F21" s="173"/>
      <c r="G21" s="172"/>
      <c r="H21" s="6"/>
      <c r="I21" s="3"/>
      <c r="J21" s="3"/>
      <c r="K21" s="147"/>
      <c r="L21" s="131"/>
      <c r="M21" s="131"/>
      <c r="N21" s="132"/>
      <c r="O21" s="174"/>
      <c r="P21" s="128"/>
      <c r="V21" s="3"/>
      <c r="W21" s="150"/>
    </row>
    <row r="22" spans="1:23" ht="15.75" x14ac:dyDescent="0.2">
      <c r="A22" s="124" t="str">
        <f t="shared" si="11"/>
        <v/>
      </c>
      <c r="B22" s="175"/>
      <c r="C22" s="175"/>
      <c r="D22" s="177"/>
      <c r="E22" s="178"/>
      <c r="F22" s="173"/>
      <c r="G22" s="172"/>
      <c r="H22" s="6"/>
      <c r="I22" s="3"/>
      <c r="J22" s="3"/>
      <c r="K22" s="147"/>
      <c r="L22" s="131"/>
      <c r="M22" s="131"/>
      <c r="N22" s="132"/>
      <c r="O22" s="174"/>
      <c r="P22" s="128"/>
      <c r="V22" s="3"/>
      <c r="W22" s="150"/>
    </row>
    <row r="23" spans="1:23" ht="18.75" x14ac:dyDescent="0.2">
      <c r="A23" s="124" t="str">
        <f t="shared" si="11"/>
        <v/>
      </c>
      <c r="B23" s="175"/>
      <c r="C23" s="175"/>
      <c r="D23" s="179" t="s">
        <v>148</v>
      </c>
      <c r="E23" s="178"/>
      <c r="F23" s="173"/>
      <c r="G23" s="172"/>
      <c r="H23" s="6"/>
      <c r="I23" s="3"/>
      <c r="J23" s="3"/>
      <c r="K23" s="147"/>
      <c r="L23" s="131"/>
      <c r="M23" s="131"/>
      <c r="N23" s="132"/>
      <c r="O23" s="174"/>
      <c r="P23" s="128"/>
      <c r="V23" s="3"/>
      <c r="W23" s="150"/>
    </row>
    <row r="24" spans="1:23" ht="31.5" x14ac:dyDescent="0.2">
      <c r="A24" s="124">
        <f t="shared" si="11"/>
        <v>10</v>
      </c>
      <c r="B24" s="175" t="s">
        <v>161</v>
      </c>
      <c r="C24" s="175" t="s">
        <v>162</v>
      </c>
      <c r="D24" s="177" t="s">
        <v>149</v>
      </c>
      <c r="E24" s="178">
        <f>1117.87*1.025</f>
        <v>1145.8167499999997</v>
      </c>
      <c r="F24" s="173">
        <v>0.05</v>
      </c>
      <c r="G24" s="172">
        <f t="shared" ref="G24:G26" si="13">E24+(E24*F24)</f>
        <v>1203.1075874999997</v>
      </c>
      <c r="H24" s="6" t="s">
        <v>120</v>
      </c>
      <c r="I24" s="3">
        <v>3.571125E-2</v>
      </c>
      <c r="J24" s="3">
        <f t="shared" ref="J24:J26" si="14">I24*G24</f>
        <v>42.964475834109365</v>
      </c>
      <c r="K24" s="170">
        <v>48.89</v>
      </c>
      <c r="L24" s="150">
        <f t="shared" ref="L24:L26" si="15">K24*J24</f>
        <v>2100.5332235296069</v>
      </c>
      <c r="M24" s="150">
        <v>3.7113</v>
      </c>
      <c r="N24" s="171">
        <f t="shared" ref="N24:N26" si="16">M24*G24</f>
        <v>4465.093189488749</v>
      </c>
      <c r="O24" s="174">
        <f t="shared" ref="O24:O26" si="17">L24+N24</f>
        <v>6565.6264130183554</v>
      </c>
      <c r="P24" s="128"/>
      <c r="V24" s="3"/>
      <c r="W24" s="150"/>
    </row>
    <row r="25" spans="1:23" ht="18" customHeight="1" x14ac:dyDescent="0.2">
      <c r="A25" s="124">
        <f t="shared" si="11"/>
        <v>11</v>
      </c>
      <c r="B25" s="175" t="s">
        <v>161</v>
      </c>
      <c r="C25" s="175" t="s">
        <v>162</v>
      </c>
      <c r="D25" s="177" t="s">
        <v>147</v>
      </c>
      <c r="E25" s="178">
        <f>1117.87*1.025</f>
        <v>1145.8167499999997</v>
      </c>
      <c r="F25" s="173">
        <v>0.05</v>
      </c>
      <c r="G25" s="172">
        <f t="shared" si="13"/>
        <v>1203.1075874999997</v>
      </c>
      <c r="H25" s="6" t="s">
        <v>120</v>
      </c>
      <c r="I25" s="3">
        <v>1.5574999999999999E-2</v>
      </c>
      <c r="J25" s="3">
        <f t="shared" si="14"/>
        <v>18.738400675312494</v>
      </c>
      <c r="K25" s="170">
        <v>45.89</v>
      </c>
      <c r="L25" s="150">
        <f t="shared" si="15"/>
        <v>859.90520699009039</v>
      </c>
      <c r="M25" s="150">
        <v>1.157</v>
      </c>
      <c r="N25" s="171">
        <f t="shared" si="16"/>
        <v>1391.9954787374998</v>
      </c>
      <c r="O25" s="174">
        <f t="shared" si="17"/>
        <v>2251.9006857275899</v>
      </c>
      <c r="P25" s="128"/>
      <c r="V25" s="3"/>
      <c r="W25" s="150"/>
    </row>
    <row r="26" spans="1:23" ht="47.25" x14ac:dyDescent="0.2">
      <c r="A26" s="124">
        <f t="shared" si="11"/>
        <v>12</v>
      </c>
      <c r="B26" s="175" t="s">
        <v>161</v>
      </c>
      <c r="C26" s="175" t="s">
        <v>162</v>
      </c>
      <c r="D26" s="177" t="s">
        <v>273</v>
      </c>
      <c r="E26" s="178">
        <f>E25*3</f>
        <v>3437.450249999999</v>
      </c>
      <c r="F26" s="173">
        <v>0.05</v>
      </c>
      <c r="G26" s="172">
        <f t="shared" si="13"/>
        <v>3609.322762499999</v>
      </c>
      <c r="H26" s="6" t="s">
        <v>120</v>
      </c>
      <c r="I26" s="3">
        <v>2.414125E-2</v>
      </c>
      <c r="J26" s="3">
        <f t="shared" si="14"/>
        <v>87.133563140203094</v>
      </c>
      <c r="K26" s="170">
        <v>45.89</v>
      </c>
      <c r="L26" s="150">
        <f t="shared" si="15"/>
        <v>3998.5592125039202</v>
      </c>
      <c r="M26" s="150">
        <v>2.0024999999999999</v>
      </c>
      <c r="N26" s="171">
        <f t="shared" si="16"/>
        <v>7227.6688319062478</v>
      </c>
      <c r="O26" s="174">
        <f t="shared" si="17"/>
        <v>11226.228044410167</v>
      </c>
      <c r="P26" s="128"/>
      <c r="V26" s="3"/>
      <c r="W26" s="150"/>
    </row>
    <row r="27" spans="1:23" ht="15.75" x14ac:dyDescent="0.2">
      <c r="A27" s="124" t="str">
        <f t="shared" si="11"/>
        <v/>
      </c>
      <c r="B27" s="175"/>
      <c r="C27" s="175"/>
      <c r="D27" s="177"/>
      <c r="E27" s="178"/>
      <c r="F27" s="173"/>
      <c r="G27" s="172"/>
      <c r="H27" s="6"/>
      <c r="I27" s="3"/>
      <c r="J27" s="3"/>
      <c r="K27" s="147"/>
      <c r="L27" s="131"/>
      <c r="M27" s="131"/>
      <c r="N27" s="132"/>
      <c r="O27" s="174"/>
      <c r="P27" s="128"/>
      <c r="V27" s="3"/>
      <c r="W27" s="150"/>
    </row>
    <row r="28" spans="1:23" ht="18" customHeight="1" x14ac:dyDescent="0.2">
      <c r="A28" s="124" t="str">
        <f t="shared" si="11"/>
        <v/>
      </c>
      <c r="B28" s="175"/>
      <c r="C28" s="175"/>
      <c r="D28" s="180" t="s">
        <v>143</v>
      </c>
      <c r="E28" s="178"/>
      <c r="F28" s="173"/>
      <c r="G28" s="172"/>
      <c r="H28" s="6"/>
      <c r="I28" s="3"/>
      <c r="J28" s="3"/>
      <c r="K28" s="147"/>
      <c r="L28" s="131"/>
      <c r="M28" s="131"/>
      <c r="N28" s="132"/>
      <c r="O28" s="174"/>
      <c r="P28" s="128"/>
      <c r="V28" s="3"/>
      <c r="W28" s="150"/>
    </row>
    <row r="29" spans="1:23" ht="15.75" x14ac:dyDescent="0.2">
      <c r="A29" s="124" t="str">
        <f t="shared" si="11"/>
        <v/>
      </c>
      <c r="B29" s="175"/>
      <c r="C29" s="175"/>
      <c r="D29" s="177"/>
      <c r="E29" s="178"/>
      <c r="F29" s="173"/>
      <c r="G29" s="172"/>
      <c r="H29" s="6"/>
      <c r="I29" s="3"/>
      <c r="J29" s="3"/>
      <c r="K29" s="147"/>
      <c r="L29" s="131"/>
      <c r="M29" s="131"/>
      <c r="N29" s="132"/>
      <c r="O29" s="174"/>
      <c r="P29" s="128"/>
      <c r="V29" s="3"/>
      <c r="W29" s="150"/>
    </row>
    <row r="30" spans="1:23" ht="18.75" x14ac:dyDescent="0.2">
      <c r="A30" s="124" t="str">
        <f t="shared" si="11"/>
        <v/>
      </c>
      <c r="B30" s="175"/>
      <c r="C30" s="175"/>
      <c r="D30" s="179" t="s">
        <v>150</v>
      </c>
      <c r="E30" s="178"/>
      <c r="F30" s="173"/>
      <c r="G30" s="172"/>
      <c r="H30" s="6"/>
      <c r="I30" s="3"/>
      <c r="J30" s="3"/>
      <c r="K30" s="147"/>
      <c r="L30" s="131"/>
      <c r="M30" s="131"/>
      <c r="N30" s="132"/>
      <c r="O30" s="174"/>
      <c r="P30" s="128"/>
      <c r="V30" s="3"/>
      <c r="W30" s="150"/>
    </row>
    <row r="31" spans="1:23" ht="31.5" x14ac:dyDescent="0.2">
      <c r="A31" s="124">
        <f t="shared" si="11"/>
        <v>13</v>
      </c>
      <c r="B31" s="175" t="s">
        <v>161</v>
      </c>
      <c r="C31" s="175" t="s">
        <v>162</v>
      </c>
      <c r="D31" s="177" t="s">
        <v>149</v>
      </c>
      <c r="E31" s="178">
        <f>1484.34*1.025</f>
        <v>1521.4484999999997</v>
      </c>
      <c r="F31" s="173">
        <v>0.05</v>
      </c>
      <c r="G31" s="172">
        <f t="shared" ref="G31:G33" si="18">E31+(E31*F31)</f>
        <v>1597.5209249999998</v>
      </c>
      <c r="H31" s="6" t="s">
        <v>120</v>
      </c>
      <c r="I31" s="3">
        <v>3.571125E-2</v>
      </c>
      <c r="J31" s="3">
        <f t="shared" ref="J31:J33" si="19">I31*G31</f>
        <v>57.049469132906246</v>
      </c>
      <c r="K31" s="170">
        <v>48.89</v>
      </c>
      <c r="L31" s="150">
        <f t="shared" ref="L31:L33" si="20">K31*J31</f>
        <v>2789.1485459077862</v>
      </c>
      <c r="M31" s="150">
        <v>3.7113</v>
      </c>
      <c r="N31" s="171">
        <f t="shared" ref="N31:N33" si="21">M31*G31</f>
        <v>5928.879408952499</v>
      </c>
      <c r="O31" s="174">
        <f t="shared" ref="O31:O33" si="22">L31+N31</f>
        <v>8718.0279548602848</v>
      </c>
      <c r="P31" s="128"/>
      <c r="V31" s="3"/>
      <c r="W31" s="150"/>
    </row>
    <row r="32" spans="1:23" ht="18" customHeight="1" x14ac:dyDescent="0.2">
      <c r="A32" s="124">
        <f t="shared" si="11"/>
        <v>14</v>
      </c>
      <c r="B32" s="175" t="s">
        <v>161</v>
      </c>
      <c r="C32" s="175" t="s">
        <v>162</v>
      </c>
      <c r="D32" s="177" t="s">
        <v>147</v>
      </c>
      <c r="E32" s="178">
        <f>1484.34*1.025</f>
        <v>1521.4484999999997</v>
      </c>
      <c r="F32" s="173">
        <v>0.05</v>
      </c>
      <c r="G32" s="172">
        <f t="shared" si="18"/>
        <v>1597.5209249999998</v>
      </c>
      <c r="H32" s="6" t="s">
        <v>120</v>
      </c>
      <c r="I32" s="3">
        <v>1.5574999999999999E-2</v>
      </c>
      <c r="J32" s="3">
        <f t="shared" si="19"/>
        <v>24.881388406874994</v>
      </c>
      <c r="K32" s="170">
        <v>45.89</v>
      </c>
      <c r="L32" s="150">
        <f t="shared" si="20"/>
        <v>1141.8069139914935</v>
      </c>
      <c r="M32" s="150">
        <v>1.157</v>
      </c>
      <c r="N32" s="171">
        <f t="shared" si="21"/>
        <v>1848.3317102249998</v>
      </c>
      <c r="O32" s="174">
        <f t="shared" si="22"/>
        <v>2990.1386242164936</v>
      </c>
      <c r="P32" s="128"/>
      <c r="V32" s="3"/>
      <c r="W32" s="150"/>
    </row>
    <row r="33" spans="1:23" ht="47.25" x14ac:dyDescent="0.2">
      <c r="A33" s="124">
        <f t="shared" si="11"/>
        <v>15</v>
      </c>
      <c r="B33" s="175" t="s">
        <v>161</v>
      </c>
      <c r="C33" s="175" t="s">
        <v>162</v>
      </c>
      <c r="D33" s="177" t="s">
        <v>273</v>
      </c>
      <c r="E33" s="178">
        <f>E32*3</f>
        <v>4564.3454999999994</v>
      </c>
      <c r="F33" s="173">
        <v>0.05</v>
      </c>
      <c r="G33" s="172">
        <f t="shared" si="18"/>
        <v>4792.5627749999994</v>
      </c>
      <c r="H33" s="6" t="s">
        <v>120</v>
      </c>
      <c r="I33" s="3">
        <v>2.414125E-2</v>
      </c>
      <c r="J33" s="3">
        <f t="shared" si="19"/>
        <v>115.69845609196874</v>
      </c>
      <c r="K33" s="170">
        <v>45.89</v>
      </c>
      <c r="L33" s="150">
        <f t="shared" si="20"/>
        <v>5309.4021500604458</v>
      </c>
      <c r="M33" s="150">
        <v>2.0024999999999999</v>
      </c>
      <c r="N33" s="171">
        <f t="shared" si="21"/>
        <v>9597.1069569374995</v>
      </c>
      <c r="O33" s="174">
        <f t="shared" si="22"/>
        <v>14906.509106997946</v>
      </c>
      <c r="P33" s="128"/>
      <c r="V33" s="3"/>
      <c r="W33" s="150"/>
    </row>
    <row r="34" spans="1:23" ht="15.75" x14ac:dyDescent="0.2">
      <c r="A34" s="124" t="str">
        <f t="shared" si="11"/>
        <v/>
      </c>
      <c r="B34" s="175"/>
      <c r="C34" s="175"/>
      <c r="D34" s="177"/>
      <c r="E34" s="178"/>
      <c r="F34" s="173"/>
      <c r="G34" s="172"/>
      <c r="H34" s="6"/>
      <c r="I34" s="3"/>
      <c r="J34" s="3"/>
      <c r="K34" s="147"/>
      <c r="L34" s="131"/>
      <c r="M34" s="131"/>
      <c r="N34" s="132"/>
      <c r="O34" s="174"/>
      <c r="P34" s="128"/>
      <c r="V34" s="3"/>
      <c r="W34" s="150"/>
    </row>
    <row r="35" spans="1:23" ht="18" customHeight="1" x14ac:dyDescent="0.2">
      <c r="A35" s="124" t="str">
        <f t="shared" si="11"/>
        <v/>
      </c>
      <c r="B35" s="175"/>
      <c r="C35" s="175"/>
      <c r="D35" s="180" t="s">
        <v>143</v>
      </c>
      <c r="E35" s="178"/>
      <c r="F35" s="173"/>
      <c r="G35" s="172"/>
      <c r="H35" s="6"/>
      <c r="I35" s="3"/>
      <c r="J35" s="3"/>
      <c r="K35" s="147"/>
      <c r="L35" s="131"/>
      <c r="M35" s="131"/>
      <c r="N35" s="132"/>
      <c r="O35" s="174"/>
      <c r="P35" s="128"/>
      <c r="V35" s="3"/>
      <c r="W35" s="150"/>
    </row>
    <row r="36" spans="1:23" ht="15.75" x14ac:dyDescent="0.2">
      <c r="A36" s="124" t="str">
        <f t="shared" si="11"/>
        <v/>
      </c>
      <c r="B36" s="175"/>
      <c r="C36" s="175"/>
      <c r="D36" s="177"/>
      <c r="E36" s="178"/>
      <c r="F36" s="173"/>
      <c r="G36" s="172"/>
      <c r="H36" s="6"/>
      <c r="I36" s="3"/>
      <c r="J36" s="3"/>
      <c r="K36" s="147"/>
      <c r="L36" s="131"/>
      <c r="M36" s="131"/>
      <c r="N36" s="132"/>
      <c r="O36" s="174"/>
      <c r="P36" s="128"/>
      <c r="V36" s="3"/>
      <c r="W36" s="150"/>
    </row>
    <row r="37" spans="1:23" ht="18.75" x14ac:dyDescent="0.2">
      <c r="A37" s="124" t="str">
        <f t="shared" si="11"/>
        <v/>
      </c>
      <c r="B37" s="175"/>
      <c r="C37" s="175"/>
      <c r="D37" s="179" t="s">
        <v>151</v>
      </c>
      <c r="E37" s="178"/>
      <c r="F37" s="173"/>
      <c r="G37" s="172"/>
      <c r="H37" s="6"/>
      <c r="I37" s="3"/>
      <c r="J37" s="3"/>
      <c r="K37" s="147"/>
      <c r="L37" s="131"/>
      <c r="M37" s="131"/>
      <c r="N37" s="132"/>
      <c r="O37" s="174"/>
      <c r="P37" s="128"/>
      <c r="V37" s="3"/>
      <c r="W37" s="150"/>
    </row>
    <row r="38" spans="1:23" ht="31.5" x14ac:dyDescent="0.2">
      <c r="A38" s="124">
        <f t="shared" si="11"/>
        <v>16</v>
      </c>
      <c r="B38" s="175" t="s">
        <v>161</v>
      </c>
      <c r="C38" s="175" t="s">
        <v>162</v>
      </c>
      <c r="D38" s="177" t="s">
        <v>149</v>
      </c>
      <c r="E38" s="178">
        <f>1478.85*1.025</f>
        <v>1515.8212499999997</v>
      </c>
      <c r="F38" s="173">
        <v>0.05</v>
      </c>
      <c r="G38" s="172">
        <f t="shared" ref="G38:G40" si="23">E38+(E38*F38)</f>
        <v>1591.6123124999997</v>
      </c>
      <c r="H38" s="6" t="s">
        <v>120</v>
      </c>
      <c r="I38" s="3">
        <v>3.571125E-2</v>
      </c>
      <c r="J38" s="3">
        <f t="shared" ref="J38:J40" si="24">I38*G38</f>
        <v>56.838465194765611</v>
      </c>
      <c r="K38" s="170">
        <v>48.89</v>
      </c>
      <c r="L38" s="150">
        <f t="shared" ref="L38:L40" si="25">K38*J38</f>
        <v>2778.8325633720906</v>
      </c>
      <c r="M38" s="150">
        <v>3.7113</v>
      </c>
      <c r="N38" s="171">
        <f t="shared" ref="N38:N40" si="26">M38*G38</f>
        <v>5906.9507753812486</v>
      </c>
      <c r="O38" s="174">
        <f t="shared" ref="O38:O40" si="27">L38+N38</f>
        <v>8685.7833387533392</v>
      </c>
      <c r="P38" s="128"/>
      <c r="V38" s="3"/>
      <c r="W38" s="150"/>
    </row>
    <row r="39" spans="1:23" ht="18" customHeight="1" x14ac:dyDescent="0.2">
      <c r="A39" s="124">
        <f t="shared" si="11"/>
        <v>17</v>
      </c>
      <c r="B39" s="175" t="s">
        <v>161</v>
      </c>
      <c r="C39" s="175" t="s">
        <v>162</v>
      </c>
      <c r="D39" s="177" t="s">
        <v>147</v>
      </c>
      <c r="E39" s="178">
        <f>1478.85*1.025</f>
        <v>1515.8212499999997</v>
      </c>
      <c r="F39" s="173">
        <v>0.05</v>
      </c>
      <c r="G39" s="172">
        <f t="shared" si="23"/>
        <v>1591.6123124999997</v>
      </c>
      <c r="H39" s="6" t="s">
        <v>120</v>
      </c>
      <c r="I39" s="3">
        <v>1.5574999999999999E-2</v>
      </c>
      <c r="J39" s="3">
        <f t="shared" si="24"/>
        <v>24.789361767187494</v>
      </c>
      <c r="K39" s="170">
        <v>45.89</v>
      </c>
      <c r="L39" s="150">
        <f t="shared" si="25"/>
        <v>1137.5838114962341</v>
      </c>
      <c r="M39" s="150">
        <v>1.157</v>
      </c>
      <c r="N39" s="171">
        <f t="shared" si="26"/>
        <v>1841.4954455624998</v>
      </c>
      <c r="O39" s="174">
        <f t="shared" si="27"/>
        <v>2979.0792570587337</v>
      </c>
      <c r="P39" s="128"/>
      <c r="V39" s="3"/>
      <c r="W39" s="150"/>
    </row>
    <row r="40" spans="1:23" ht="47.25" x14ac:dyDescent="0.2">
      <c r="A40" s="124">
        <f t="shared" si="11"/>
        <v>18</v>
      </c>
      <c r="B40" s="175" t="s">
        <v>161</v>
      </c>
      <c r="C40" s="175" t="s">
        <v>162</v>
      </c>
      <c r="D40" s="177" t="s">
        <v>273</v>
      </c>
      <c r="E40" s="178">
        <f>E39*3</f>
        <v>4547.463749999999</v>
      </c>
      <c r="F40" s="173">
        <v>0.05</v>
      </c>
      <c r="G40" s="172">
        <f t="shared" si="23"/>
        <v>4774.8369374999993</v>
      </c>
      <c r="H40" s="6" t="s">
        <v>120</v>
      </c>
      <c r="I40" s="3">
        <v>2.414125E-2</v>
      </c>
      <c r="J40" s="3">
        <f t="shared" si="24"/>
        <v>115.27053221742186</v>
      </c>
      <c r="K40" s="170">
        <v>45.89</v>
      </c>
      <c r="L40" s="150">
        <f t="shared" si="25"/>
        <v>5289.7647234574888</v>
      </c>
      <c r="M40" s="150">
        <v>2.0024999999999999</v>
      </c>
      <c r="N40" s="171">
        <f t="shared" si="26"/>
        <v>9561.6109673437477</v>
      </c>
      <c r="O40" s="174">
        <f t="shared" si="27"/>
        <v>14851.375690801236</v>
      </c>
      <c r="P40" s="128"/>
      <c r="V40" s="3"/>
      <c r="W40" s="150"/>
    </row>
    <row r="41" spans="1:23" ht="15.75" x14ac:dyDescent="0.2">
      <c r="A41" s="124" t="str">
        <f t="shared" si="11"/>
        <v/>
      </c>
      <c r="B41" s="175"/>
      <c r="C41" s="175"/>
      <c r="D41" s="177"/>
      <c r="E41" s="178"/>
      <c r="F41" s="173"/>
      <c r="G41" s="172"/>
      <c r="H41" s="6"/>
      <c r="I41" s="3"/>
      <c r="J41" s="3"/>
      <c r="K41" s="147"/>
      <c r="L41" s="131"/>
      <c r="M41" s="131"/>
      <c r="N41" s="132"/>
      <c r="O41" s="174"/>
      <c r="P41" s="128"/>
      <c r="V41" s="3"/>
      <c r="W41" s="150"/>
    </row>
    <row r="42" spans="1:23" ht="18" customHeight="1" x14ac:dyDescent="0.2">
      <c r="A42" s="124" t="str">
        <f t="shared" si="11"/>
        <v/>
      </c>
      <c r="B42" s="175"/>
      <c r="C42" s="175"/>
      <c r="D42" s="180" t="s">
        <v>143</v>
      </c>
      <c r="E42" s="178"/>
      <c r="F42" s="173"/>
      <c r="G42" s="172"/>
      <c r="H42" s="6"/>
      <c r="I42" s="3"/>
      <c r="J42" s="3"/>
      <c r="K42" s="147"/>
      <c r="L42" s="131"/>
      <c r="M42" s="131"/>
      <c r="N42" s="132"/>
      <c r="O42" s="174"/>
      <c r="P42" s="128"/>
      <c r="V42" s="3"/>
      <c r="W42" s="150"/>
    </row>
    <row r="43" spans="1:23" ht="15.75" x14ac:dyDescent="0.2">
      <c r="A43" s="124" t="str">
        <f t="shared" si="11"/>
        <v/>
      </c>
      <c r="B43" s="175"/>
      <c r="C43" s="175"/>
      <c r="D43" s="177"/>
      <c r="E43" s="178"/>
      <c r="F43" s="173"/>
      <c r="G43" s="172"/>
      <c r="H43" s="6"/>
      <c r="I43" s="3"/>
      <c r="J43" s="3"/>
      <c r="K43" s="147"/>
      <c r="L43" s="131"/>
      <c r="M43" s="131"/>
      <c r="N43" s="132"/>
      <c r="O43" s="174"/>
      <c r="P43" s="128"/>
      <c r="V43" s="3"/>
      <c r="W43" s="150"/>
    </row>
    <row r="44" spans="1:23" ht="18.75" x14ac:dyDescent="0.2">
      <c r="A44" s="124" t="str">
        <f t="shared" si="11"/>
        <v/>
      </c>
      <c r="B44" s="175"/>
      <c r="C44" s="175"/>
      <c r="D44" s="179" t="s">
        <v>152</v>
      </c>
      <c r="E44" s="178"/>
      <c r="F44" s="173"/>
      <c r="G44" s="172"/>
      <c r="H44" s="6"/>
      <c r="I44" s="3"/>
      <c r="J44" s="3"/>
      <c r="K44" s="147"/>
      <c r="L44" s="131"/>
      <c r="M44" s="131"/>
      <c r="N44" s="132"/>
      <c r="O44" s="174"/>
      <c r="P44" s="128"/>
      <c r="V44" s="3"/>
      <c r="W44" s="150"/>
    </row>
    <row r="45" spans="1:23" ht="31.5" x14ac:dyDescent="0.2">
      <c r="A45" s="124">
        <f t="shared" si="11"/>
        <v>19</v>
      </c>
      <c r="B45" s="175" t="s">
        <v>161</v>
      </c>
      <c r="C45" s="175" t="s">
        <v>162</v>
      </c>
      <c r="D45" s="177" t="s">
        <v>149</v>
      </c>
      <c r="E45" s="178">
        <f>450.77*1.025</f>
        <v>462.03924999999992</v>
      </c>
      <c r="F45" s="173">
        <v>0.05</v>
      </c>
      <c r="G45" s="172">
        <f t="shared" ref="G45:G47" si="28">E45+(E45*F45)</f>
        <v>485.14121249999994</v>
      </c>
      <c r="H45" s="6" t="s">
        <v>120</v>
      </c>
      <c r="I45" s="3">
        <v>3.571125E-2</v>
      </c>
      <c r="J45" s="3">
        <f t="shared" ref="J45:J47" si="29">I45*G45</f>
        <v>17.324999124890624</v>
      </c>
      <c r="K45" s="170">
        <v>48.89</v>
      </c>
      <c r="L45" s="150">
        <f t="shared" ref="L45:L47" si="30">K45*J45</f>
        <v>847.01920721590261</v>
      </c>
      <c r="M45" s="150">
        <v>3.7113</v>
      </c>
      <c r="N45" s="171">
        <f t="shared" ref="N45:N47" si="31">M45*G45</f>
        <v>1800.5045819512497</v>
      </c>
      <c r="O45" s="174">
        <f t="shared" ref="O45:O47" si="32">L45+N45</f>
        <v>2647.5237891671522</v>
      </c>
      <c r="P45" s="128"/>
      <c r="V45" s="3"/>
      <c r="W45" s="150"/>
    </row>
    <row r="46" spans="1:23" ht="18" customHeight="1" x14ac:dyDescent="0.2">
      <c r="A46" s="124">
        <f t="shared" si="11"/>
        <v>20</v>
      </c>
      <c r="B46" s="175" t="s">
        <v>161</v>
      </c>
      <c r="C46" s="175" t="s">
        <v>162</v>
      </c>
      <c r="D46" s="177" t="s">
        <v>147</v>
      </c>
      <c r="E46" s="178">
        <f>450.77*1.025</f>
        <v>462.03924999999992</v>
      </c>
      <c r="F46" s="173">
        <v>0.05</v>
      </c>
      <c r="G46" s="172">
        <f t="shared" si="28"/>
        <v>485.14121249999994</v>
      </c>
      <c r="H46" s="6" t="s">
        <v>120</v>
      </c>
      <c r="I46" s="3">
        <v>1.5574999999999999E-2</v>
      </c>
      <c r="J46" s="3">
        <f t="shared" si="29"/>
        <v>7.5560743846874985</v>
      </c>
      <c r="K46" s="170">
        <v>45.89</v>
      </c>
      <c r="L46" s="150">
        <f t="shared" si="30"/>
        <v>346.74825351330929</v>
      </c>
      <c r="M46" s="150">
        <v>1.157</v>
      </c>
      <c r="N46" s="171">
        <f t="shared" si="31"/>
        <v>561.30838286249991</v>
      </c>
      <c r="O46" s="174">
        <f t="shared" si="32"/>
        <v>908.05663637580915</v>
      </c>
      <c r="P46" s="128"/>
      <c r="V46" s="3"/>
      <c r="W46" s="150"/>
    </row>
    <row r="47" spans="1:23" ht="47.25" x14ac:dyDescent="0.2">
      <c r="A47" s="124">
        <f t="shared" si="11"/>
        <v>21</v>
      </c>
      <c r="B47" s="175" t="s">
        <v>161</v>
      </c>
      <c r="C47" s="175" t="s">
        <v>162</v>
      </c>
      <c r="D47" s="177" t="s">
        <v>273</v>
      </c>
      <c r="E47" s="178">
        <f>E46*3</f>
        <v>1386.1177499999999</v>
      </c>
      <c r="F47" s="173">
        <v>0.05</v>
      </c>
      <c r="G47" s="172">
        <f t="shared" si="28"/>
        <v>1455.4236374999998</v>
      </c>
      <c r="H47" s="6" t="s">
        <v>120</v>
      </c>
      <c r="I47" s="3">
        <v>2.414125E-2</v>
      </c>
      <c r="J47" s="3">
        <f t="shared" si="29"/>
        <v>35.135745888796869</v>
      </c>
      <c r="K47" s="170">
        <v>45.89</v>
      </c>
      <c r="L47" s="150">
        <f t="shared" si="30"/>
        <v>1612.3793788368882</v>
      </c>
      <c r="M47" s="150">
        <v>2.0024999999999999</v>
      </c>
      <c r="N47" s="171">
        <f t="shared" si="31"/>
        <v>2914.4858340937494</v>
      </c>
      <c r="O47" s="174">
        <f t="shared" si="32"/>
        <v>4526.8652129306374</v>
      </c>
      <c r="P47" s="128"/>
      <c r="V47" s="3"/>
      <c r="W47" s="150"/>
    </row>
    <row r="48" spans="1:23" ht="15.75" x14ac:dyDescent="0.2">
      <c r="A48" s="124" t="str">
        <f t="shared" si="11"/>
        <v/>
      </c>
      <c r="B48" s="175"/>
      <c r="C48" s="175"/>
      <c r="D48" s="177"/>
      <c r="E48" s="178"/>
      <c r="F48" s="173"/>
      <c r="G48" s="172"/>
      <c r="H48" s="6"/>
      <c r="I48" s="3"/>
      <c r="J48" s="3"/>
      <c r="K48" s="147"/>
      <c r="L48" s="131"/>
      <c r="M48" s="131"/>
      <c r="N48" s="132"/>
      <c r="O48" s="174"/>
      <c r="P48" s="128"/>
      <c r="V48" s="3"/>
      <c r="W48" s="150"/>
    </row>
    <row r="49" spans="1:23" ht="18" customHeight="1" x14ac:dyDescent="0.2">
      <c r="A49" s="124" t="str">
        <f t="shared" si="11"/>
        <v/>
      </c>
      <c r="B49" s="175"/>
      <c r="C49" s="175"/>
      <c r="D49" s="180" t="s">
        <v>143</v>
      </c>
      <c r="E49" s="178"/>
      <c r="F49" s="173"/>
      <c r="G49" s="172"/>
      <c r="H49" s="6"/>
      <c r="I49" s="3"/>
      <c r="J49" s="3"/>
      <c r="K49" s="147"/>
      <c r="L49" s="131"/>
      <c r="M49" s="131"/>
      <c r="N49" s="132"/>
      <c r="O49" s="174"/>
      <c r="P49" s="128"/>
      <c r="V49" s="3"/>
      <c r="W49" s="150"/>
    </row>
    <row r="50" spans="1:23" ht="15.75" x14ac:dyDescent="0.2">
      <c r="A50" s="124" t="str">
        <f t="shared" si="11"/>
        <v/>
      </c>
      <c r="B50" s="175"/>
      <c r="C50" s="175"/>
      <c r="D50" s="177"/>
      <c r="E50" s="178"/>
      <c r="F50" s="173"/>
      <c r="G50" s="172"/>
      <c r="H50" s="6"/>
      <c r="I50" s="3"/>
      <c r="J50" s="3"/>
      <c r="K50" s="147"/>
      <c r="L50" s="131"/>
      <c r="M50" s="131"/>
      <c r="N50" s="132"/>
      <c r="O50" s="174"/>
      <c r="P50" s="128"/>
      <c r="V50" s="3"/>
      <c r="W50" s="150"/>
    </row>
    <row r="51" spans="1:23" ht="18.75" x14ac:dyDescent="0.2">
      <c r="A51" s="124" t="str">
        <f t="shared" si="11"/>
        <v/>
      </c>
      <c r="B51" s="175"/>
      <c r="C51" s="175"/>
      <c r="D51" s="179" t="s">
        <v>153</v>
      </c>
      <c r="E51" s="178"/>
      <c r="F51" s="173"/>
      <c r="G51" s="172"/>
      <c r="H51" s="6"/>
      <c r="I51" s="3"/>
      <c r="J51" s="3"/>
      <c r="K51" s="147"/>
      <c r="L51" s="131"/>
      <c r="M51" s="131"/>
      <c r="N51" s="132"/>
      <c r="O51" s="174"/>
      <c r="P51" s="128"/>
      <c r="V51" s="3"/>
      <c r="W51" s="150"/>
    </row>
    <row r="52" spans="1:23" ht="31.5" x14ac:dyDescent="0.2">
      <c r="A52" s="124">
        <f t="shared" si="11"/>
        <v>22</v>
      </c>
      <c r="B52" s="175" t="s">
        <v>161</v>
      </c>
      <c r="C52" s="175" t="s">
        <v>162</v>
      </c>
      <c r="D52" s="177" t="s">
        <v>149</v>
      </c>
      <c r="E52" s="178">
        <f>1117.66*1.025</f>
        <v>1145.6015</v>
      </c>
      <c r="F52" s="173">
        <v>0.05</v>
      </c>
      <c r="G52" s="172">
        <f t="shared" ref="G52:G54" si="33">E52+(E52*F52)</f>
        <v>1202.8815749999999</v>
      </c>
      <c r="H52" s="6" t="s">
        <v>120</v>
      </c>
      <c r="I52" s="3">
        <v>3.571125E-2</v>
      </c>
      <c r="J52" s="3">
        <f t="shared" ref="J52:J54" si="34">I52*G52</f>
        <v>42.956404645218747</v>
      </c>
      <c r="K52" s="170">
        <v>48.89</v>
      </c>
      <c r="L52" s="150">
        <f t="shared" ref="L52:L54" si="35">K52*J52</f>
        <v>2100.1386231047445</v>
      </c>
      <c r="M52" s="150">
        <v>3.7113</v>
      </c>
      <c r="N52" s="171">
        <f t="shared" ref="N52:N54" si="36">M52*G52</f>
        <v>4464.2543892975</v>
      </c>
      <c r="O52" s="174">
        <f t="shared" ref="O52:O54" si="37">L52+N52</f>
        <v>6564.3930124022445</v>
      </c>
      <c r="P52" s="128"/>
      <c r="V52" s="3"/>
      <c r="W52" s="150"/>
    </row>
    <row r="53" spans="1:23" ht="18" customHeight="1" x14ac:dyDescent="0.2">
      <c r="A53" s="124">
        <f t="shared" si="11"/>
        <v>23</v>
      </c>
      <c r="B53" s="175" t="s">
        <v>161</v>
      </c>
      <c r="C53" s="175" t="s">
        <v>162</v>
      </c>
      <c r="D53" s="177" t="s">
        <v>147</v>
      </c>
      <c r="E53" s="178">
        <f>1117.66*1.025</f>
        <v>1145.6015</v>
      </c>
      <c r="F53" s="173">
        <v>0.05</v>
      </c>
      <c r="G53" s="172">
        <f t="shared" si="33"/>
        <v>1202.8815749999999</v>
      </c>
      <c r="H53" s="6" t="s">
        <v>120</v>
      </c>
      <c r="I53" s="3">
        <v>1.5574999999999999E-2</v>
      </c>
      <c r="J53" s="3">
        <f t="shared" si="34"/>
        <v>18.734880530624995</v>
      </c>
      <c r="K53" s="170">
        <v>45.89</v>
      </c>
      <c r="L53" s="150">
        <f t="shared" si="35"/>
        <v>859.74366755038102</v>
      </c>
      <c r="M53" s="150">
        <v>1.157</v>
      </c>
      <c r="N53" s="171">
        <f t="shared" si="36"/>
        <v>1391.7339822749998</v>
      </c>
      <c r="O53" s="174">
        <f t="shared" si="37"/>
        <v>2251.4776498253809</v>
      </c>
      <c r="P53" s="128"/>
      <c r="V53" s="3"/>
      <c r="W53" s="150"/>
    </row>
    <row r="54" spans="1:23" ht="47.25" x14ac:dyDescent="0.2">
      <c r="A54" s="124">
        <f t="shared" si="11"/>
        <v>24</v>
      </c>
      <c r="B54" s="175" t="s">
        <v>161</v>
      </c>
      <c r="C54" s="175" t="s">
        <v>162</v>
      </c>
      <c r="D54" s="177" t="s">
        <v>273</v>
      </c>
      <c r="E54" s="178">
        <f>E53*3</f>
        <v>3436.8045000000002</v>
      </c>
      <c r="F54" s="173">
        <v>0.05</v>
      </c>
      <c r="G54" s="172">
        <f t="shared" si="33"/>
        <v>3608.6447250000001</v>
      </c>
      <c r="H54" s="6" t="s">
        <v>120</v>
      </c>
      <c r="I54" s="3">
        <v>2.414125E-2</v>
      </c>
      <c r="J54" s="3">
        <f t="shared" si="34"/>
        <v>87.11719446740625</v>
      </c>
      <c r="K54" s="170">
        <v>45.89</v>
      </c>
      <c r="L54" s="150">
        <f t="shared" si="35"/>
        <v>3997.8080541092727</v>
      </c>
      <c r="M54" s="150">
        <v>2.0024999999999999</v>
      </c>
      <c r="N54" s="171">
        <f t="shared" si="36"/>
        <v>7226.3110618125002</v>
      </c>
      <c r="O54" s="174">
        <f t="shared" si="37"/>
        <v>11224.119115921772</v>
      </c>
      <c r="P54" s="128"/>
      <c r="V54" s="3"/>
      <c r="W54" s="150"/>
    </row>
    <row r="55" spans="1:23" ht="15.75" x14ac:dyDescent="0.2">
      <c r="A55" s="124" t="str">
        <f t="shared" si="11"/>
        <v/>
      </c>
      <c r="B55" s="175"/>
      <c r="C55" s="175"/>
      <c r="D55" s="177"/>
      <c r="E55" s="178"/>
      <c r="F55" s="173"/>
      <c r="G55" s="172"/>
      <c r="H55" s="6"/>
      <c r="I55" s="3"/>
      <c r="J55" s="3"/>
      <c r="K55" s="147"/>
      <c r="L55" s="131"/>
      <c r="M55" s="131"/>
      <c r="N55" s="132"/>
      <c r="O55" s="174"/>
      <c r="P55" s="128"/>
      <c r="V55" s="3"/>
      <c r="W55" s="150"/>
    </row>
    <row r="56" spans="1:23" ht="18" customHeight="1" x14ac:dyDescent="0.2">
      <c r="A56" s="124" t="str">
        <f t="shared" si="11"/>
        <v/>
      </c>
      <c r="B56" s="175"/>
      <c r="C56" s="175"/>
      <c r="D56" s="180" t="s">
        <v>143</v>
      </c>
      <c r="E56" s="178"/>
      <c r="F56" s="173"/>
      <c r="G56" s="172"/>
      <c r="H56" s="6"/>
      <c r="I56" s="3"/>
      <c r="J56" s="3"/>
      <c r="K56" s="147"/>
      <c r="L56" s="131"/>
      <c r="M56" s="131"/>
      <c r="N56" s="132"/>
      <c r="O56" s="174"/>
      <c r="P56" s="128"/>
      <c r="V56" s="3"/>
      <c r="W56" s="150"/>
    </row>
    <row r="57" spans="1:23" ht="15.75" x14ac:dyDescent="0.2">
      <c r="A57" s="124" t="str">
        <f t="shared" si="11"/>
        <v/>
      </c>
      <c r="B57" s="175"/>
      <c r="C57" s="175"/>
      <c r="D57" s="177"/>
      <c r="E57" s="178"/>
      <c r="F57" s="173"/>
      <c r="G57" s="172"/>
      <c r="H57" s="6"/>
      <c r="I57" s="3"/>
      <c r="J57" s="3"/>
      <c r="K57" s="147"/>
      <c r="L57" s="131"/>
      <c r="M57" s="131"/>
      <c r="N57" s="132"/>
      <c r="O57" s="174"/>
      <c r="P57" s="128"/>
      <c r="V57" s="3"/>
      <c r="W57" s="150"/>
    </row>
    <row r="58" spans="1:23" ht="18.75" x14ac:dyDescent="0.2">
      <c r="A58" s="124" t="str">
        <f t="shared" si="11"/>
        <v/>
      </c>
      <c r="B58" s="175"/>
      <c r="C58" s="175"/>
      <c r="D58" s="179" t="s">
        <v>154</v>
      </c>
      <c r="E58" s="178"/>
      <c r="F58" s="173"/>
      <c r="G58" s="172"/>
      <c r="H58" s="6"/>
      <c r="I58" s="3"/>
      <c r="J58" s="3"/>
      <c r="K58" s="147"/>
      <c r="L58" s="131"/>
      <c r="M58" s="131"/>
      <c r="N58" s="132"/>
      <c r="O58" s="174"/>
      <c r="P58" s="128"/>
      <c r="V58" s="3"/>
      <c r="W58" s="150"/>
    </row>
    <row r="59" spans="1:23" ht="31.5" x14ac:dyDescent="0.2">
      <c r="A59" s="124">
        <f t="shared" si="11"/>
        <v>25</v>
      </c>
      <c r="B59" s="175" t="s">
        <v>161</v>
      </c>
      <c r="C59" s="175" t="s">
        <v>162</v>
      </c>
      <c r="D59" s="177" t="s">
        <v>149</v>
      </c>
      <c r="E59" s="178">
        <f>1116.43*1.025</f>
        <v>1144.3407500000001</v>
      </c>
      <c r="F59" s="173">
        <v>0.05</v>
      </c>
      <c r="G59" s="172">
        <f t="shared" ref="G59:G61" si="38">E59+(E59*F59)</f>
        <v>1201.5577875000001</v>
      </c>
      <c r="H59" s="6" t="s">
        <v>120</v>
      </c>
      <c r="I59" s="3">
        <v>3.571125E-2</v>
      </c>
      <c r="J59" s="3">
        <f t="shared" ref="J59:J61" si="39">I59*G59</f>
        <v>42.90913053885938</v>
      </c>
      <c r="K59" s="170">
        <v>48.89</v>
      </c>
      <c r="L59" s="150">
        <f t="shared" ref="L59:L61" si="40">K59*J59</f>
        <v>2097.8273920448351</v>
      </c>
      <c r="M59" s="150">
        <v>3.7113</v>
      </c>
      <c r="N59" s="171">
        <f t="shared" ref="N59:N61" si="41">M59*G59</f>
        <v>4459.3414167487508</v>
      </c>
      <c r="O59" s="174">
        <f t="shared" ref="O59:O61" si="42">L59+N59</f>
        <v>6557.1688087935854</v>
      </c>
      <c r="P59" s="128"/>
      <c r="V59" s="3"/>
      <c r="W59" s="150"/>
    </row>
    <row r="60" spans="1:23" ht="18" customHeight="1" x14ac:dyDescent="0.2">
      <c r="A60" s="124">
        <f t="shared" si="11"/>
        <v>26</v>
      </c>
      <c r="B60" s="175" t="s">
        <v>161</v>
      </c>
      <c r="C60" s="175" t="s">
        <v>162</v>
      </c>
      <c r="D60" s="177" t="s">
        <v>147</v>
      </c>
      <c r="E60" s="178">
        <f>1116.43*1.025</f>
        <v>1144.3407500000001</v>
      </c>
      <c r="F60" s="173">
        <v>0.05</v>
      </c>
      <c r="G60" s="172">
        <f t="shared" si="38"/>
        <v>1201.5577875000001</v>
      </c>
      <c r="H60" s="6" t="s">
        <v>120</v>
      </c>
      <c r="I60" s="3">
        <v>1.5574999999999999E-2</v>
      </c>
      <c r="J60" s="3">
        <f t="shared" si="39"/>
        <v>18.7142625403125</v>
      </c>
      <c r="K60" s="170">
        <v>45.89</v>
      </c>
      <c r="L60" s="150">
        <f t="shared" si="40"/>
        <v>858.79750797494069</v>
      </c>
      <c r="M60" s="150">
        <v>1.157</v>
      </c>
      <c r="N60" s="171">
        <f t="shared" si="41"/>
        <v>1390.2023601375001</v>
      </c>
      <c r="O60" s="174">
        <f t="shared" si="42"/>
        <v>2248.9998681124407</v>
      </c>
      <c r="P60" s="128"/>
      <c r="V60" s="3"/>
      <c r="W60" s="150"/>
    </row>
    <row r="61" spans="1:23" ht="47.25" x14ac:dyDescent="0.2">
      <c r="A61" s="124">
        <f t="shared" si="11"/>
        <v>27</v>
      </c>
      <c r="B61" s="175" t="s">
        <v>161</v>
      </c>
      <c r="C61" s="175" t="s">
        <v>162</v>
      </c>
      <c r="D61" s="177" t="s">
        <v>273</v>
      </c>
      <c r="E61" s="178">
        <f>E60*3</f>
        <v>3433.02225</v>
      </c>
      <c r="F61" s="173">
        <v>0.05</v>
      </c>
      <c r="G61" s="172">
        <f t="shared" si="38"/>
        <v>3604.6733625000002</v>
      </c>
      <c r="H61" s="6" t="s">
        <v>120</v>
      </c>
      <c r="I61" s="3">
        <v>2.414125E-2</v>
      </c>
      <c r="J61" s="3">
        <f t="shared" si="39"/>
        <v>87.021320812453126</v>
      </c>
      <c r="K61" s="170">
        <v>45.89</v>
      </c>
      <c r="L61" s="150">
        <f t="shared" si="40"/>
        <v>3993.4084120834741</v>
      </c>
      <c r="M61" s="150">
        <v>2.0024999999999999</v>
      </c>
      <c r="N61" s="171">
        <f t="shared" si="41"/>
        <v>7218.3584084062504</v>
      </c>
      <c r="O61" s="174">
        <f t="shared" si="42"/>
        <v>11211.766820489724</v>
      </c>
      <c r="P61" s="128"/>
      <c r="V61" s="3"/>
      <c r="W61" s="150"/>
    </row>
    <row r="62" spans="1:23" ht="15.75" x14ac:dyDescent="0.2">
      <c r="A62" s="124" t="str">
        <f t="shared" si="11"/>
        <v/>
      </c>
      <c r="B62" s="175"/>
      <c r="C62" s="175"/>
      <c r="D62" s="177"/>
      <c r="E62" s="178"/>
      <c r="F62" s="173"/>
      <c r="G62" s="172"/>
      <c r="H62" s="6"/>
      <c r="I62" s="3"/>
      <c r="J62" s="3"/>
      <c r="K62" s="147"/>
      <c r="L62" s="131"/>
      <c r="M62" s="131"/>
      <c r="N62" s="132"/>
      <c r="O62" s="174"/>
      <c r="P62" s="128"/>
      <c r="V62" s="3"/>
      <c r="W62" s="150"/>
    </row>
    <row r="63" spans="1:23" ht="18" customHeight="1" x14ac:dyDescent="0.2">
      <c r="A63" s="124" t="str">
        <f t="shared" si="11"/>
        <v/>
      </c>
      <c r="B63" s="175"/>
      <c r="C63" s="175"/>
      <c r="D63" s="180" t="s">
        <v>143</v>
      </c>
      <c r="E63" s="178"/>
      <c r="F63" s="173"/>
      <c r="G63" s="172"/>
      <c r="H63" s="6"/>
      <c r="I63" s="3"/>
      <c r="J63" s="3"/>
      <c r="K63" s="147"/>
      <c r="L63" s="131"/>
      <c r="M63" s="131"/>
      <c r="N63" s="132"/>
      <c r="O63" s="174"/>
      <c r="P63" s="128"/>
      <c r="V63" s="3"/>
      <c r="W63" s="150"/>
    </row>
    <row r="64" spans="1:23" ht="15.75" x14ac:dyDescent="0.2">
      <c r="A64" s="124" t="str">
        <f t="shared" si="11"/>
        <v/>
      </c>
      <c r="B64" s="175"/>
      <c r="C64" s="175"/>
      <c r="D64" s="177"/>
      <c r="E64" s="178"/>
      <c r="F64" s="173"/>
      <c r="G64" s="172"/>
      <c r="H64" s="6"/>
      <c r="I64" s="3"/>
      <c r="J64" s="3"/>
      <c r="K64" s="147"/>
      <c r="L64" s="131"/>
      <c r="M64" s="131"/>
      <c r="N64" s="132"/>
      <c r="O64" s="174"/>
      <c r="P64" s="128"/>
      <c r="V64" s="3"/>
      <c r="W64" s="150"/>
    </row>
    <row r="65" spans="1:23" ht="18.75" x14ac:dyDescent="0.2">
      <c r="A65" s="124" t="str">
        <f t="shared" si="11"/>
        <v/>
      </c>
      <c r="B65" s="175"/>
      <c r="C65" s="175"/>
      <c r="D65" s="179" t="s">
        <v>155</v>
      </c>
      <c r="E65" s="178"/>
      <c r="F65" s="173"/>
      <c r="G65" s="172"/>
      <c r="H65" s="6"/>
      <c r="I65" s="3"/>
      <c r="J65" s="3"/>
      <c r="K65" s="147"/>
      <c r="L65" s="131"/>
      <c r="M65" s="131"/>
      <c r="N65" s="132"/>
      <c r="O65" s="174"/>
      <c r="P65" s="128"/>
      <c r="V65" s="3"/>
      <c r="W65" s="150"/>
    </row>
    <row r="66" spans="1:23" ht="31.5" x14ac:dyDescent="0.2">
      <c r="A66" s="124">
        <f t="shared" si="11"/>
        <v>28</v>
      </c>
      <c r="B66" s="175" t="s">
        <v>161</v>
      </c>
      <c r="C66" s="175" t="s">
        <v>162</v>
      </c>
      <c r="D66" s="177" t="s">
        <v>149</v>
      </c>
      <c r="E66" s="178">
        <f>1486.4*1.025</f>
        <v>1523.56</v>
      </c>
      <c r="F66" s="173">
        <v>0.05</v>
      </c>
      <c r="G66" s="172">
        <f t="shared" ref="G66:G68" si="43">E66+(E66*F66)</f>
        <v>1599.7379999999998</v>
      </c>
      <c r="H66" s="6" t="s">
        <v>120</v>
      </c>
      <c r="I66" s="3">
        <v>3.571125E-2</v>
      </c>
      <c r="J66" s="3">
        <f t="shared" ref="J66:J68" si="44">I66*G66</f>
        <v>57.128643652499996</v>
      </c>
      <c r="K66" s="170">
        <v>48.89</v>
      </c>
      <c r="L66" s="150">
        <f t="shared" ref="L66:L68" si="45">K66*J66</f>
        <v>2793.0193881707246</v>
      </c>
      <c r="M66" s="150">
        <v>3.7113</v>
      </c>
      <c r="N66" s="171">
        <f t="shared" ref="N66:N68" si="46">M66*G66</f>
        <v>5937.1076393999992</v>
      </c>
      <c r="O66" s="174">
        <f t="shared" ref="O66:O68" si="47">L66+N66</f>
        <v>8730.1270275707247</v>
      </c>
      <c r="P66" s="128"/>
      <c r="V66" s="3"/>
      <c r="W66" s="150"/>
    </row>
    <row r="67" spans="1:23" ht="18" customHeight="1" x14ac:dyDescent="0.2">
      <c r="A67" s="124">
        <f t="shared" si="11"/>
        <v>29</v>
      </c>
      <c r="B67" s="175" t="s">
        <v>161</v>
      </c>
      <c r="C67" s="175" t="s">
        <v>162</v>
      </c>
      <c r="D67" s="177" t="s">
        <v>147</v>
      </c>
      <c r="E67" s="178">
        <f>1486.4*1.025</f>
        <v>1523.56</v>
      </c>
      <c r="F67" s="173">
        <v>0.05</v>
      </c>
      <c r="G67" s="172">
        <f t="shared" si="43"/>
        <v>1599.7379999999998</v>
      </c>
      <c r="H67" s="6" t="s">
        <v>120</v>
      </c>
      <c r="I67" s="3">
        <v>1.5574999999999999E-2</v>
      </c>
      <c r="J67" s="3">
        <f t="shared" si="44"/>
        <v>24.915919349999996</v>
      </c>
      <c r="K67" s="170">
        <v>45.89</v>
      </c>
      <c r="L67" s="150">
        <f t="shared" si="45"/>
        <v>1143.3915389714998</v>
      </c>
      <c r="M67" s="150">
        <v>1.157</v>
      </c>
      <c r="N67" s="171">
        <f t="shared" si="46"/>
        <v>1850.8968659999998</v>
      </c>
      <c r="O67" s="174">
        <f t="shared" si="47"/>
        <v>2994.2884049714994</v>
      </c>
      <c r="P67" s="128"/>
      <c r="V67" s="3"/>
      <c r="W67" s="150"/>
    </row>
    <row r="68" spans="1:23" ht="47.25" x14ac:dyDescent="0.2">
      <c r="A68" s="124">
        <f t="shared" si="11"/>
        <v>30</v>
      </c>
      <c r="B68" s="175" t="s">
        <v>161</v>
      </c>
      <c r="C68" s="175" t="s">
        <v>162</v>
      </c>
      <c r="D68" s="177" t="s">
        <v>273</v>
      </c>
      <c r="E68" s="178">
        <f>E67*3</f>
        <v>4570.68</v>
      </c>
      <c r="F68" s="173">
        <v>0.05</v>
      </c>
      <c r="G68" s="172">
        <f t="shared" si="43"/>
        <v>4799.2139999999999</v>
      </c>
      <c r="H68" s="6" t="s">
        <v>120</v>
      </c>
      <c r="I68" s="3">
        <v>2.414125E-2</v>
      </c>
      <c r="J68" s="3">
        <f t="shared" si="44"/>
        <v>115.8590249775</v>
      </c>
      <c r="K68" s="170">
        <v>45.89</v>
      </c>
      <c r="L68" s="150">
        <f t="shared" si="45"/>
        <v>5316.7706562174753</v>
      </c>
      <c r="M68" s="150">
        <v>2.0024999999999999</v>
      </c>
      <c r="N68" s="171">
        <f t="shared" si="46"/>
        <v>9610.4260350000004</v>
      </c>
      <c r="O68" s="174">
        <f t="shared" si="47"/>
        <v>14927.196691217476</v>
      </c>
      <c r="P68" s="128"/>
      <c r="V68" s="3"/>
      <c r="W68" s="150"/>
    </row>
    <row r="69" spans="1:23" ht="15.75" x14ac:dyDescent="0.2">
      <c r="A69" s="124" t="str">
        <f t="shared" si="11"/>
        <v/>
      </c>
      <c r="B69" s="175"/>
      <c r="C69" s="175"/>
      <c r="D69" s="177"/>
      <c r="E69" s="178"/>
      <c r="F69" s="173"/>
      <c r="G69" s="172"/>
      <c r="H69" s="6"/>
      <c r="I69" s="3"/>
      <c r="J69" s="3"/>
      <c r="K69" s="147"/>
      <c r="L69" s="131"/>
      <c r="M69" s="131"/>
      <c r="N69" s="132"/>
      <c r="O69" s="174"/>
      <c r="P69" s="128"/>
      <c r="V69" s="3"/>
      <c r="W69" s="150"/>
    </row>
    <row r="70" spans="1:23" ht="18" customHeight="1" x14ac:dyDescent="0.2">
      <c r="A70" s="124" t="str">
        <f t="shared" si="11"/>
        <v/>
      </c>
      <c r="B70" s="175"/>
      <c r="C70" s="175"/>
      <c r="D70" s="180" t="s">
        <v>143</v>
      </c>
      <c r="E70" s="178"/>
      <c r="F70" s="173"/>
      <c r="G70" s="172"/>
      <c r="H70" s="6"/>
      <c r="I70" s="3"/>
      <c r="J70" s="3"/>
      <c r="K70" s="147"/>
      <c r="L70" s="131"/>
      <c r="M70" s="131"/>
      <c r="N70" s="132"/>
      <c r="O70" s="174"/>
      <c r="P70" s="128"/>
      <c r="V70" s="3"/>
      <c r="W70" s="150"/>
    </row>
    <row r="71" spans="1:23" ht="15.75" x14ac:dyDescent="0.2">
      <c r="A71" s="124" t="str">
        <f t="shared" si="11"/>
        <v/>
      </c>
      <c r="B71" s="175"/>
      <c r="C71" s="175"/>
      <c r="D71" s="177"/>
      <c r="E71" s="178"/>
      <c r="F71" s="173"/>
      <c r="G71" s="172"/>
      <c r="H71" s="6"/>
      <c r="I71" s="3"/>
      <c r="J71" s="3"/>
      <c r="K71" s="147"/>
      <c r="L71" s="131"/>
      <c r="M71" s="131"/>
      <c r="N71" s="132"/>
      <c r="O71" s="174"/>
      <c r="P71" s="128"/>
      <c r="V71" s="3"/>
      <c r="W71" s="150"/>
    </row>
    <row r="72" spans="1:23" ht="18.75" x14ac:dyDescent="0.2">
      <c r="A72" s="124" t="str">
        <f t="shared" si="11"/>
        <v/>
      </c>
      <c r="B72" s="175"/>
      <c r="C72" s="175"/>
      <c r="D72" s="179" t="s">
        <v>156</v>
      </c>
      <c r="E72" s="178"/>
      <c r="F72" s="173"/>
      <c r="G72" s="172"/>
      <c r="H72" s="6"/>
      <c r="I72" s="3"/>
      <c r="J72" s="3"/>
      <c r="K72" s="147"/>
      <c r="L72" s="131"/>
      <c r="M72" s="131"/>
      <c r="N72" s="132"/>
      <c r="O72" s="174"/>
      <c r="P72" s="128"/>
      <c r="V72" s="3"/>
      <c r="W72" s="150"/>
    </row>
    <row r="73" spans="1:23" ht="31.5" x14ac:dyDescent="0.2">
      <c r="A73" s="124">
        <f t="shared" si="11"/>
        <v>31</v>
      </c>
      <c r="B73" s="175" t="s">
        <v>161</v>
      </c>
      <c r="C73" s="175" t="s">
        <v>162</v>
      </c>
      <c r="D73" s="177" t="s">
        <v>149</v>
      </c>
      <c r="E73" s="178">
        <f>1490.95*1.025</f>
        <v>1528.2237499999999</v>
      </c>
      <c r="F73" s="173">
        <v>0.05</v>
      </c>
      <c r="G73" s="172">
        <f t="shared" ref="G73:G75" si="48">E73+(E73*F73)</f>
        <v>1604.6349375</v>
      </c>
      <c r="H73" s="6" t="s">
        <v>120</v>
      </c>
      <c r="I73" s="3">
        <v>3.571125E-2</v>
      </c>
      <c r="J73" s="3">
        <f t="shared" ref="J73:J75" si="49">I73*G73</f>
        <v>57.303519411796877</v>
      </c>
      <c r="K73" s="170">
        <v>48.89</v>
      </c>
      <c r="L73" s="150">
        <f t="shared" ref="L73:L75" si="50">K73*J73</f>
        <v>2801.5690640427492</v>
      </c>
      <c r="M73" s="150">
        <v>3.7113</v>
      </c>
      <c r="N73" s="171">
        <f t="shared" ref="N73:N75" si="51">M73*G73</f>
        <v>5955.2816435437499</v>
      </c>
      <c r="O73" s="174">
        <f t="shared" ref="O73:O75" si="52">L73+N73</f>
        <v>8756.8507075864982</v>
      </c>
      <c r="P73" s="128"/>
      <c r="V73" s="3"/>
      <c r="W73" s="150"/>
    </row>
    <row r="74" spans="1:23" ht="18" customHeight="1" x14ac:dyDescent="0.2">
      <c r="A74" s="124">
        <f t="shared" si="11"/>
        <v>32</v>
      </c>
      <c r="B74" s="175" t="s">
        <v>161</v>
      </c>
      <c r="C74" s="175" t="s">
        <v>162</v>
      </c>
      <c r="D74" s="177" t="s">
        <v>147</v>
      </c>
      <c r="E74" s="178">
        <f>1490.95*1.025</f>
        <v>1528.2237499999999</v>
      </c>
      <c r="F74" s="173">
        <v>0.05</v>
      </c>
      <c r="G74" s="172">
        <f t="shared" si="48"/>
        <v>1604.6349375</v>
      </c>
      <c r="H74" s="6" t="s">
        <v>120</v>
      </c>
      <c r="I74" s="3">
        <v>1.5574999999999999E-2</v>
      </c>
      <c r="J74" s="3">
        <f t="shared" si="49"/>
        <v>24.992189151562496</v>
      </c>
      <c r="K74" s="170">
        <v>45.89</v>
      </c>
      <c r="L74" s="150">
        <f t="shared" si="50"/>
        <v>1146.8915601652029</v>
      </c>
      <c r="M74" s="150">
        <v>1.157</v>
      </c>
      <c r="N74" s="171">
        <f t="shared" si="51"/>
        <v>1856.5626226874999</v>
      </c>
      <c r="O74" s="174">
        <f t="shared" si="52"/>
        <v>3003.4541828527026</v>
      </c>
      <c r="P74" s="128"/>
      <c r="V74" s="3"/>
      <c r="W74" s="150"/>
    </row>
    <row r="75" spans="1:23" ht="47.25" x14ac:dyDescent="0.2">
      <c r="A75" s="124">
        <f t="shared" si="11"/>
        <v>33</v>
      </c>
      <c r="B75" s="175" t="s">
        <v>161</v>
      </c>
      <c r="C75" s="175" t="s">
        <v>162</v>
      </c>
      <c r="D75" s="177" t="s">
        <v>273</v>
      </c>
      <c r="E75" s="178">
        <f>E74*3</f>
        <v>4584.6712499999994</v>
      </c>
      <c r="F75" s="173">
        <v>0.05</v>
      </c>
      <c r="G75" s="172">
        <f t="shared" si="48"/>
        <v>4813.904812499999</v>
      </c>
      <c r="H75" s="6" t="s">
        <v>120</v>
      </c>
      <c r="I75" s="3">
        <v>2.414125E-2</v>
      </c>
      <c r="J75" s="3">
        <f t="shared" si="49"/>
        <v>116.2136795547656</v>
      </c>
      <c r="K75" s="170">
        <v>45.89</v>
      </c>
      <c r="L75" s="150">
        <f t="shared" si="50"/>
        <v>5333.0457547681935</v>
      </c>
      <c r="M75" s="150">
        <v>2.0024999999999999</v>
      </c>
      <c r="N75" s="171">
        <f t="shared" si="51"/>
        <v>9639.8443870312476</v>
      </c>
      <c r="O75" s="174">
        <f t="shared" si="52"/>
        <v>14972.890141799442</v>
      </c>
      <c r="P75" s="128"/>
      <c r="V75" s="3"/>
      <c r="W75" s="150"/>
    </row>
    <row r="76" spans="1:23" ht="15.75" x14ac:dyDescent="0.2">
      <c r="A76" s="124" t="str">
        <f t="shared" si="11"/>
        <v/>
      </c>
      <c r="B76" s="175"/>
      <c r="C76" s="175"/>
      <c r="D76" s="177"/>
      <c r="E76" s="178"/>
      <c r="F76" s="173"/>
      <c r="G76" s="172"/>
      <c r="H76" s="6"/>
      <c r="I76" s="3"/>
      <c r="J76" s="3"/>
      <c r="K76" s="147"/>
      <c r="L76" s="131"/>
      <c r="M76" s="131"/>
      <c r="N76" s="132"/>
      <c r="O76" s="174"/>
      <c r="P76" s="128"/>
      <c r="V76" s="3"/>
      <c r="W76" s="150"/>
    </row>
    <row r="77" spans="1:23" ht="18" customHeight="1" x14ac:dyDescent="0.2">
      <c r="A77" s="124" t="str">
        <f t="shared" si="11"/>
        <v/>
      </c>
      <c r="B77" s="175"/>
      <c r="C77" s="175"/>
      <c r="D77" s="180" t="s">
        <v>143</v>
      </c>
      <c r="E77" s="178"/>
      <c r="F77" s="173"/>
      <c r="G77" s="172"/>
      <c r="H77" s="6"/>
      <c r="I77" s="3"/>
      <c r="J77" s="3"/>
      <c r="K77" s="147"/>
      <c r="L77" s="131"/>
      <c r="M77" s="131"/>
      <c r="N77" s="132"/>
      <c r="O77" s="174"/>
      <c r="P77" s="128"/>
      <c r="V77" s="3"/>
      <c r="W77" s="150"/>
    </row>
    <row r="78" spans="1:23" ht="15.75" x14ac:dyDescent="0.2">
      <c r="A78" s="124" t="str">
        <f t="shared" si="11"/>
        <v/>
      </c>
      <c r="B78" s="175"/>
      <c r="C78" s="175"/>
      <c r="D78" s="177"/>
      <c r="E78" s="178"/>
      <c r="F78" s="173"/>
      <c r="G78" s="172"/>
      <c r="H78" s="6"/>
      <c r="I78" s="3"/>
      <c r="J78" s="3"/>
      <c r="K78" s="147"/>
      <c r="L78" s="131"/>
      <c r="M78" s="131"/>
      <c r="N78" s="132"/>
      <c r="O78" s="174"/>
      <c r="P78" s="128"/>
      <c r="V78" s="3"/>
      <c r="W78" s="150"/>
    </row>
    <row r="79" spans="1:23" ht="18.75" x14ac:dyDescent="0.2">
      <c r="A79" s="124" t="str">
        <f t="shared" si="11"/>
        <v/>
      </c>
      <c r="B79" s="175"/>
      <c r="C79" s="175"/>
      <c r="D79" s="179" t="s">
        <v>157</v>
      </c>
      <c r="E79" s="178"/>
      <c r="F79" s="173"/>
      <c r="G79" s="172"/>
      <c r="H79" s="6"/>
      <c r="I79" s="3"/>
      <c r="J79" s="3"/>
      <c r="K79" s="147"/>
      <c r="L79" s="131"/>
      <c r="M79" s="131"/>
      <c r="N79" s="132"/>
      <c r="O79" s="174"/>
      <c r="P79" s="128"/>
      <c r="V79" s="3"/>
      <c r="W79" s="150"/>
    </row>
    <row r="80" spans="1:23" ht="31.5" x14ac:dyDescent="0.2">
      <c r="A80" s="124">
        <f t="shared" si="11"/>
        <v>34</v>
      </c>
      <c r="B80" s="175" t="s">
        <v>161</v>
      </c>
      <c r="C80" s="175" t="s">
        <v>162</v>
      </c>
      <c r="D80" s="177" t="s">
        <v>149</v>
      </c>
      <c r="E80" s="178">
        <f>451.75*1.025</f>
        <v>463.04374999999993</v>
      </c>
      <c r="F80" s="173">
        <v>0.05</v>
      </c>
      <c r="G80" s="172">
        <f t="shared" ref="G80:G82" si="53">E80+(E80*F80)</f>
        <v>486.1959374999999</v>
      </c>
      <c r="H80" s="6" t="s">
        <v>120</v>
      </c>
      <c r="I80" s="3">
        <v>3.571125E-2</v>
      </c>
      <c r="J80" s="3">
        <f t="shared" ref="J80:J82" si="54">I80*G80</f>
        <v>17.362664673046872</v>
      </c>
      <c r="K80" s="170">
        <v>48.89</v>
      </c>
      <c r="L80" s="150">
        <f t="shared" ref="L80:L82" si="55">K80*J80</f>
        <v>848.86067586526156</v>
      </c>
      <c r="M80" s="150">
        <v>3.7113</v>
      </c>
      <c r="N80" s="171">
        <f t="shared" ref="N80:N82" si="56">M80*G80</f>
        <v>1804.4189828437497</v>
      </c>
      <c r="O80" s="174">
        <f t="shared" ref="O80:O82" si="57">L80+N80</f>
        <v>2653.2796587090115</v>
      </c>
      <c r="P80" s="128"/>
      <c r="V80" s="3"/>
      <c r="W80" s="150"/>
    </row>
    <row r="81" spans="1:23" ht="18" customHeight="1" x14ac:dyDescent="0.2">
      <c r="A81" s="124">
        <f t="shared" si="11"/>
        <v>35</v>
      </c>
      <c r="B81" s="175" t="s">
        <v>161</v>
      </c>
      <c r="C81" s="175" t="s">
        <v>162</v>
      </c>
      <c r="D81" s="177" t="s">
        <v>147</v>
      </c>
      <c r="E81" s="178">
        <f>451.75*1.025</f>
        <v>463.04374999999993</v>
      </c>
      <c r="F81" s="173">
        <v>0.05</v>
      </c>
      <c r="G81" s="172">
        <f t="shared" si="53"/>
        <v>486.1959374999999</v>
      </c>
      <c r="H81" s="6" t="s">
        <v>120</v>
      </c>
      <c r="I81" s="3">
        <v>1.5574999999999999E-2</v>
      </c>
      <c r="J81" s="3">
        <f t="shared" si="54"/>
        <v>7.5725017265624981</v>
      </c>
      <c r="K81" s="170">
        <v>45.89</v>
      </c>
      <c r="L81" s="150">
        <f t="shared" si="55"/>
        <v>347.50210423195307</v>
      </c>
      <c r="M81" s="150">
        <v>1.157</v>
      </c>
      <c r="N81" s="171">
        <f t="shared" si="56"/>
        <v>562.52869968749985</v>
      </c>
      <c r="O81" s="174">
        <f t="shared" si="57"/>
        <v>910.03080391945286</v>
      </c>
      <c r="P81" s="128"/>
      <c r="V81" s="3"/>
      <c r="W81" s="150"/>
    </row>
    <row r="82" spans="1:23" ht="47.25" x14ac:dyDescent="0.2">
      <c r="A82" s="124">
        <f t="shared" ref="A82:A145" si="58">IF(H82&lt;&gt;"",1+MAX(A72:A81),"")</f>
        <v>36</v>
      </c>
      <c r="B82" s="175" t="s">
        <v>161</v>
      </c>
      <c r="C82" s="175" t="s">
        <v>162</v>
      </c>
      <c r="D82" s="177" t="s">
        <v>273</v>
      </c>
      <c r="E82" s="178">
        <f>E81*3</f>
        <v>1389.1312499999999</v>
      </c>
      <c r="F82" s="173">
        <v>0.05</v>
      </c>
      <c r="G82" s="172">
        <f t="shared" si="53"/>
        <v>1458.5878124999999</v>
      </c>
      <c r="H82" s="6" t="s">
        <v>120</v>
      </c>
      <c r="I82" s="3">
        <v>2.414125E-2</v>
      </c>
      <c r="J82" s="3">
        <f t="shared" si="54"/>
        <v>35.212133028515623</v>
      </c>
      <c r="K82" s="170">
        <v>45.89</v>
      </c>
      <c r="L82" s="150">
        <f t="shared" si="55"/>
        <v>1615.884784678582</v>
      </c>
      <c r="M82" s="150">
        <v>2.0024999999999999</v>
      </c>
      <c r="N82" s="171">
        <f t="shared" si="56"/>
        <v>2920.8220945312496</v>
      </c>
      <c r="O82" s="174">
        <f t="shared" si="57"/>
        <v>4536.7068792098316</v>
      </c>
      <c r="P82" s="128"/>
      <c r="V82" s="3"/>
      <c r="W82" s="150"/>
    </row>
    <row r="83" spans="1:23" ht="15.75" x14ac:dyDescent="0.2">
      <c r="A83" s="124" t="str">
        <f t="shared" si="58"/>
        <v/>
      </c>
      <c r="B83" s="175"/>
      <c r="C83" s="175"/>
      <c r="D83" s="177"/>
      <c r="E83" s="178"/>
      <c r="F83" s="173"/>
      <c r="G83" s="172"/>
      <c r="H83" s="6"/>
      <c r="I83" s="3"/>
      <c r="J83" s="3"/>
      <c r="K83" s="147"/>
      <c r="L83" s="131"/>
      <c r="M83" s="131"/>
      <c r="N83" s="132"/>
      <c r="O83" s="174"/>
      <c r="P83" s="128"/>
      <c r="V83" s="3"/>
      <c r="W83" s="150"/>
    </row>
    <row r="84" spans="1:23" ht="18" customHeight="1" x14ac:dyDescent="0.2">
      <c r="A84" s="124" t="str">
        <f t="shared" si="58"/>
        <v/>
      </c>
      <c r="B84" s="175"/>
      <c r="C84" s="175"/>
      <c r="D84" s="180" t="s">
        <v>143</v>
      </c>
      <c r="E84" s="178"/>
      <c r="F84" s="173"/>
      <c r="G84" s="172"/>
      <c r="H84" s="6"/>
      <c r="I84" s="3"/>
      <c r="J84" s="3"/>
      <c r="K84" s="147"/>
      <c r="L84" s="131"/>
      <c r="M84" s="131"/>
      <c r="N84" s="132"/>
      <c r="O84" s="174"/>
      <c r="P84" s="128"/>
      <c r="V84" s="3"/>
      <c r="W84" s="150"/>
    </row>
    <row r="85" spans="1:23" ht="15.75" x14ac:dyDescent="0.2">
      <c r="A85" s="124" t="str">
        <f t="shared" si="58"/>
        <v/>
      </c>
      <c r="B85" s="175"/>
      <c r="C85" s="175"/>
      <c r="D85" s="177"/>
      <c r="E85" s="178"/>
      <c r="F85" s="173"/>
      <c r="G85" s="172"/>
      <c r="H85" s="6"/>
      <c r="I85" s="3"/>
      <c r="J85" s="3"/>
      <c r="K85" s="147"/>
      <c r="L85" s="131"/>
      <c r="M85" s="131"/>
      <c r="N85" s="132"/>
      <c r="O85" s="174"/>
      <c r="P85" s="128"/>
      <c r="V85" s="3"/>
      <c r="W85" s="150"/>
    </row>
    <row r="86" spans="1:23" ht="18.75" x14ac:dyDescent="0.2">
      <c r="A86" s="124" t="str">
        <f t="shared" si="58"/>
        <v/>
      </c>
      <c r="B86" s="175"/>
      <c r="C86" s="175"/>
      <c r="D86" s="179" t="s">
        <v>158</v>
      </c>
      <c r="E86" s="178"/>
      <c r="F86" s="173"/>
      <c r="G86" s="172"/>
      <c r="H86" s="6"/>
      <c r="I86" s="3"/>
      <c r="J86" s="3"/>
      <c r="K86" s="147"/>
      <c r="L86" s="131"/>
      <c r="M86" s="131"/>
      <c r="N86" s="132"/>
      <c r="O86" s="174"/>
      <c r="P86" s="128"/>
      <c r="V86" s="3"/>
      <c r="W86" s="150"/>
    </row>
    <row r="87" spans="1:23" ht="31.5" x14ac:dyDescent="0.2">
      <c r="A87" s="124">
        <f t="shared" si="58"/>
        <v>37</v>
      </c>
      <c r="B87" s="175" t="s">
        <v>161</v>
      </c>
      <c r="C87" s="175" t="s">
        <v>162</v>
      </c>
      <c r="D87" s="177" t="s">
        <v>160</v>
      </c>
      <c r="E87" s="178">
        <f>2108.27*1.015</f>
        <v>2139.8940499999999</v>
      </c>
      <c r="F87" s="173">
        <v>0.05</v>
      </c>
      <c r="G87" s="172">
        <f t="shared" ref="G87:G89" si="59">E87+(E87*F87)</f>
        <v>2246.8887525</v>
      </c>
      <c r="H87" s="6" t="s">
        <v>120</v>
      </c>
      <c r="I87" s="3">
        <v>3.571125E-2</v>
      </c>
      <c r="J87" s="3">
        <f t="shared" ref="J87:J89" si="60">I87*G87</f>
        <v>80.23920596271563</v>
      </c>
      <c r="K87" s="170">
        <v>48.89</v>
      </c>
      <c r="L87" s="150">
        <f t="shared" ref="L87:L89" si="61">K87*J87</f>
        <v>3922.8947795171671</v>
      </c>
      <c r="M87" s="150">
        <v>3.7113</v>
      </c>
      <c r="N87" s="171">
        <f t="shared" ref="N87:N89" si="62">M87*G87</f>
        <v>8338.8782271532509</v>
      </c>
      <c r="O87" s="174">
        <f t="shared" ref="O87:O89" si="63">L87+N87</f>
        <v>12261.773006670417</v>
      </c>
      <c r="P87" s="128"/>
      <c r="V87" s="3"/>
      <c r="W87" s="150"/>
    </row>
    <row r="88" spans="1:23" ht="18" customHeight="1" x14ac:dyDescent="0.2">
      <c r="A88" s="124">
        <f t="shared" si="58"/>
        <v>38</v>
      </c>
      <c r="B88" s="175" t="s">
        <v>161</v>
      </c>
      <c r="C88" s="175" t="s">
        <v>162</v>
      </c>
      <c r="D88" s="177" t="s">
        <v>147</v>
      </c>
      <c r="E88" s="178">
        <f>2108.27*1.015</f>
        <v>2139.8940499999999</v>
      </c>
      <c r="F88" s="173">
        <v>0.05</v>
      </c>
      <c r="G88" s="172">
        <f t="shared" si="59"/>
        <v>2246.8887525</v>
      </c>
      <c r="H88" s="6" t="s">
        <v>120</v>
      </c>
      <c r="I88" s="3">
        <v>1.5574999999999999E-2</v>
      </c>
      <c r="J88" s="3">
        <f t="shared" si="60"/>
        <v>34.995292320187495</v>
      </c>
      <c r="K88" s="170">
        <v>45.89</v>
      </c>
      <c r="L88" s="150">
        <f t="shared" si="61"/>
        <v>1605.9339645734042</v>
      </c>
      <c r="M88" s="150">
        <v>1.157</v>
      </c>
      <c r="N88" s="171">
        <f t="shared" si="62"/>
        <v>2599.6502866424999</v>
      </c>
      <c r="O88" s="174">
        <f t="shared" si="63"/>
        <v>4205.5842512159043</v>
      </c>
      <c r="P88" s="128"/>
      <c r="V88" s="3"/>
      <c r="W88" s="150"/>
    </row>
    <row r="89" spans="1:23" ht="47.25" x14ac:dyDescent="0.2">
      <c r="A89" s="124">
        <f t="shared" si="58"/>
        <v>39</v>
      </c>
      <c r="B89" s="175" t="s">
        <v>161</v>
      </c>
      <c r="C89" s="175" t="s">
        <v>162</v>
      </c>
      <c r="D89" s="177" t="s">
        <v>273</v>
      </c>
      <c r="E89" s="178">
        <f>E88*3</f>
        <v>6419.6821499999996</v>
      </c>
      <c r="F89" s="173">
        <v>0.05</v>
      </c>
      <c r="G89" s="172">
        <f t="shared" si="59"/>
        <v>6740.6662575</v>
      </c>
      <c r="H89" s="6" t="s">
        <v>120</v>
      </c>
      <c r="I89" s="3">
        <v>2.414125E-2</v>
      </c>
      <c r="J89" s="3">
        <f t="shared" si="60"/>
        <v>162.72810928887188</v>
      </c>
      <c r="K89" s="170">
        <v>45.89</v>
      </c>
      <c r="L89" s="150">
        <f t="shared" si="61"/>
        <v>7467.5929352663306</v>
      </c>
      <c r="M89" s="150">
        <v>2.0024999999999999</v>
      </c>
      <c r="N89" s="171">
        <f t="shared" si="62"/>
        <v>13498.18418064375</v>
      </c>
      <c r="O89" s="174">
        <f t="shared" si="63"/>
        <v>20965.777115910081</v>
      </c>
      <c r="P89" s="128"/>
      <c r="V89" s="3"/>
      <c r="W89" s="150"/>
    </row>
    <row r="90" spans="1:23" ht="15.75" x14ac:dyDescent="0.2">
      <c r="A90" s="124" t="str">
        <f t="shared" si="58"/>
        <v/>
      </c>
      <c r="B90" s="175"/>
      <c r="C90" s="175"/>
      <c r="D90" s="177"/>
      <c r="E90" s="178"/>
      <c r="F90" s="173"/>
      <c r="G90" s="172"/>
      <c r="H90" s="6"/>
      <c r="I90" s="3"/>
      <c r="J90" s="3"/>
      <c r="K90" s="147"/>
      <c r="L90" s="131"/>
      <c r="M90" s="131"/>
      <c r="N90" s="132"/>
      <c r="O90" s="174"/>
      <c r="P90" s="128"/>
      <c r="V90" s="3"/>
      <c r="W90" s="150"/>
    </row>
    <row r="91" spans="1:23" ht="18" customHeight="1" x14ac:dyDescent="0.2">
      <c r="A91" s="124" t="str">
        <f t="shared" si="58"/>
        <v/>
      </c>
      <c r="B91" s="175"/>
      <c r="C91" s="175"/>
      <c r="D91" s="180" t="s">
        <v>143</v>
      </c>
      <c r="E91" s="178"/>
      <c r="F91" s="173"/>
      <c r="G91" s="172"/>
      <c r="H91" s="6"/>
      <c r="I91" s="3"/>
      <c r="J91" s="3"/>
      <c r="K91" s="147"/>
      <c r="L91" s="131"/>
      <c r="M91" s="131"/>
      <c r="N91" s="132"/>
      <c r="O91" s="174"/>
      <c r="P91" s="128"/>
      <c r="V91" s="3"/>
      <c r="W91" s="150"/>
    </row>
    <row r="92" spans="1:23" ht="15.75" x14ac:dyDescent="0.2">
      <c r="A92" s="124" t="str">
        <f t="shared" si="58"/>
        <v/>
      </c>
      <c r="B92" s="175"/>
      <c r="C92" s="175"/>
      <c r="D92" s="177"/>
      <c r="E92" s="178"/>
      <c r="F92" s="173"/>
      <c r="G92" s="172"/>
      <c r="H92" s="6"/>
      <c r="I92" s="3"/>
      <c r="J92" s="3"/>
      <c r="K92" s="147"/>
      <c r="L92" s="131"/>
      <c r="M92" s="131"/>
      <c r="N92" s="132"/>
      <c r="O92" s="174"/>
      <c r="P92" s="128"/>
      <c r="V92" s="3"/>
      <c r="W92" s="150"/>
    </row>
    <row r="93" spans="1:23" ht="18.75" x14ac:dyDescent="0.2">
      <c r="A93" s="124" t="str">
        <f t="shared" si="58"/>
        <v/>
      </c>
      <c r="B93" s="175"/>
      <c r="C93" s="175"/>
      <c r="D93" s="179" t="s">
        <v>159</v>
      </c>
      <c r="E93" s="178"/>
      <c r="F93" s="173"/>
      <c r="G93" s="172"/>
      <c r="H93" s="6"/>
      <c r="I93" s="3"/>
      <c r="J93" s="3"/>
      <c r="K93" s="147"/>
      <c r="L93" s="131"/>
      <c r="M93" s="131"/>
      <c r="N93" s="132"/>
      <c r="O93" s="174"/>
      <c r="P93" s="128"/>
      <c r="V93" s="3"/>
      <c r="W93" s="150"/>
    </row>
    <row r="94" spans="1:23" ht="31.5" x14ac:dyDescent="0.2">
      <c r="A94" s="124">
        <f t="shared" si="58"/>
        <v>40</v>
      </c>
      <c r="B94" s="175" t="s">
        <v>161</v>
      </c>
      <c r="C94" s="175" t="s">
        <v>162</v>
      </c>
      <c r="D94" s="177" t="s">
        <v>160</v>
      </c>
      <c r="E94" s="178">
        <f>2122.06*1.015</f>
        <v>2153.8908999999999</v>
      </c>
      <c r="F94" s="173">
        <v>0.05</v>
      </c>
      <c r="G94" s="172">
        <f t="shared" ref="G94:G96" si="64">E94+(E94*F94)</f>
        <v>2261.5854449999997</v>
      </c>
      <c r="H94" s="6" t="s">
        <v>120</v>
      </c>
      <c r="I94" s="3">
        <v>3.571125E-2</v>
      </c>
      <c r="J94" s="3">
        <f t="shared" ref="J94:J96" si="65">I94*G94</f>
        <v>80.764043222756243</v>
      </c>
      <c r="K94" s="170">
        <v>48.89</v>
      </c>
      <c r="L94" s="150">
        <f t="shared" ref="L94:L96" si="66">K94*J94</f>
        <v>3948.5540731605529</v>
      </c>
      <c r="M94" s="150">
        <v>3.7113</v>
      </c>
      <c r="N94" s="171">
        <f t="shared" ref="N94:N96" si="67">M94*G94</f>
        <v>8393.4220620284996</v>
      </c>
      <c r="O94" s="174">
        <f t="shared" ref="O94:O96" si="68">L94+N94</f>
        <v>12341.976135189052</v>
      </c>
      <c r="P94" s="128"/>
      <c r="V94" s="3"/>
      <c r="W94" s="150"/>
    </row>
    <row r="95" spans="1:23" ht="18" customHeight="1" x14ac:dyDescent="0.2">
      <c r="A95" s="124">
        <f t="shared" si="58"/>
        <v>41</v>
      </c>
      <c r="B95" s="175" t="s">
        <v>161</v>
      </c>
      <c r="C95" s="175" t="s">
        <v>162</v>
      </c>
      <c r="D95" s="177" t="s">
        <v>147</v>
      </c>
      <c r="E95" s="178">
        <f>2122.06*1.015</f>
        <v>2153.8908999999999</v>
      </c>
      <c r="F95" s="173">
        <v>0.05</v>
      </c>
      <c r="G95" s="172">
        <f t="shared" si="64"/>
        <v>2261.5854449999997</v>
      </c>
      <c r="H95" s="6" t="s">
        <v>120</v>
      </c>
      <c r="I95" s="3">
        <v>1.5574999999999999E-2</v>
      </c>
      <c r="J95" s="3">
        <f t="shared" si="65"/>
        <v>35.224193305874991</v>
      </c>
      <c r="K95" s="170">
        <v>45.89</v>
      </c>
      <c r="L95" s="150">
        <f t="shared" si="66"/>
        <v>1616.4382308066033</v>
      </c>
      <c r="M95" s="150">
        <v>1.157</v>
      </c>
      <c r="N95" s="171">
        <f t="shared" si="67"/>
        <v>2616.6543598649996</v>
      </c>
      <c r="O95" s="174">
        <f t="shared" si="68"/>
        <v>4233.0925906716029</v>
      </c>
      <c r="P95" s="128"/>
      <c r="V95" s="3"/>
      <c r="W95" s="150"/>
    </row>
    <row r="96" spans="1:23" ht="47.25" x14ac:dyDescent="0.2">
      <c r="A96" s="124">
        <f t="shared" si="58"/>
        <v>42</v>
      </c>
      <c r="B96" s="175" t="s">
        <v>161</v>
      </c>
      <c r="C96" s="175" t="s">
        <v>162</v>
      </c>
      <c r="D96" s="177" t="s">
        <v>273</v>
      </c>
      <c r="E96" s="178">
        <f>E95*3</f>
        <v>6461.6726999999992</v>
      </c>
      <c r="F96" s="173">
        <v>0.05</v>
      </c>
      <c r="G96" s="172">
        <f t="shared" si="64"/>
        <v>6784.7563349999991</v>
      </c>
      <c r="H96" s="6" t="s">
        <v>120</v>
      </c>
      <c r="I96" s="3">
        <v>2.414125E-2</v>
      </c>
      <c r="J96" s="3">
        <f t="shared" si="65"/>
        <v>163.79249887231873</v>
      </c>
      <c r="K96" s="170">
        <v>45.89</v>
      </c>
      <c r="L96" s="150">
        <f t="shared" si="66"/>
        <v>7516.4377732507064</v>
      </c>
      <c r="M96" s="150">
        <v>2.0024999999999999</v>
      </c>
      <c r="N96" s="171">
        <f t="shared" si="67"/>
        <v>13586.474560837498</v>
      </c>
      <c r="O96" s="174">
        <f t="shared" si="68"/>
        <v>21102.912334088203</v>
      </c>
      <c r="P96" s="128"/>
      <c r="V96" s="3"/>
      <c r="W96" s="150"/>
    </row>
    <row r="97" spans="1:23" ht="15.75" x14ac:dyDescent="0.2">
      <c r="A97" s="124" t="str">
        <f t="shared" si="58"/>
        <v/>
      </c>
      <c r="B97" s="175"/>
      <c r="C97" s="175"/>
      <c r="D97" s="177"/>
      <c r="E97" s="178"/>
      <c r="F97" s="173"/>
      <c r="G97" s="172"/>
      <c r="H97" s="6"/>
      <c r="I97" s="3"/>
      <c r="J97" s="3"/>
      <c r="K97" s="147"/>
      <c r="L97" s="131"/>
      <c r="M97" s="131"/>
      <c r="N97" s="132"/>
      <c r="O97" s="174"/>
      <c r="P97" s="128"/>
      <c r="V97" s="3"/>
      <c r="W97" s="150"/>
    </row>
    <row r="98" spans="1:23" ht="18" customHeight="1" x14ac:dyDescent="0.2">
      <c r="A98" s="124" t="str">
        <f t="shared" si="58"/>
        <v/>
      </c>
      <c r="B98" s="175"/>
      <c r="C98" s="175"/>
      <c r="D98" s="180" t="s">
        <v>143</v>
      </c>
      <c r="E98" s="178"/>
      <c r="F98" s="173"/>
      <c r="G98" s="172"/>
      <c r="H98" s="6"/>
      <c r="I98" s="3"/>
      <c r="J98" s="3"/>
      <c r="K98" s="147"/>
      <c r="L98" s="131"/>
      <c r="M98" s="131"/>
      <c r="N98" s="132"/>
      <c r="O98" s="174"/>
      <c r="P98" s="128"/>
      <c r="V98" s="3"/>
      <c r="W98" s="150"/>
    </row>
    <row r="99" spans="1:23" ht="15.75" x14ac:dyDescent="0.2">
      <c r="A99" s="124" t="str">
        <f t="shared" si="58"/>
        <v/>
      </c>
      <c r="B99" s="175"/>
      <c r="C99" s="175"/>
      <c r="D99" s="177"/>
      <c r="E99" s="178"/>
      <c r="F99" s="173"/>
      <c r="G99" s="172"/>
      <c r="H99" s="6"/>
      <c r="I99" s="3"/>
      <c r="J99" s="3"/>
      <c r="K99" s="147"/>
      <c r="L99" s="131"/>
      <c r="M99" s="131"/>
      <c r="N99" s="132"/>
      <c r="O99" s="174"/>
      <c r="P99" s="128"/>
      <c r="V99" s="3"/>
      <c r="W99" s="150"/>
    </row>
    <row r="100" spans="1:23" ht="18.75" x14ac:dyDescent="0.2">
      <c r="A100" s="124" t="str">
        <f t="shared" si="58"/>
        <v/>
      </c>
      <c r="B100" s="175"/>
      <c r="C100" s="175"/>
      <c r="D100" s="179" t="s">
        <v>163</v>
      </c>
      <c r="E100" s="178"/>
      <c r="F100" s="173"/>
      <c r="G100" s="172"/>
      <c r="H100" s="6"/>
      <c r="I100" s="3"/>
      <c r="J100" s="3"/>
      <c r="K100" s="147"/>
      <c r="L100" s="131"/>
      <c r="M100" s="131"/>
      <c r="N100" s="132"/>
      <c r="O100" s="174"/>
      <c r="P100" s="128"/>
      <c r="V100" s="3"/>
      <c r="W100" s="150"/>
    </row>
    <row r="101" spans="1:23" ht="31.5" x14ac:dyDescent="0.2">
      <c r="A101" s="124">
        <f t="shared" si="58"/>
        <v>43</v>
      </c>
      <c r="B101" s="175" t="s">
        <v>164</v>
      </c>
      <c r="C101" s="175" t="s">
        <v>167</v>
      </c>
      <c r="D101" s="177" t="s">
        <v>188</v>
      </c>
      <c r="E101" s="178">
        <f>6288.44*1.03</f>
        <v>6477.0931999999993</v>
      </c>
      <c r="F101" s="173">
        <v>0.05</v>
      </c>
      <c r="G101" s="172">
        <f t="shared" ref="G101:G104" si="69">E101+(E101*F101)</f>
        <v>6800.9478599999993</v>
      </c>
      <c r="H101" s="6" t="s">
        <v>120</v>
      </c>
      <c r="I101" s="3">
        <v>4.2831249999999994E-2</v>
      </c>
      <c r="J101" s="3">
        <f t="shared" ref="J101:J103" si="70">I101*G101</f>
        <v>291.29309802862491</v>
      </c>
      <c r="K101" s="170">
        <v>48.89</v>
      </c>
      <c r="L101" s="150">
        <f t="shared" ref="L101:L103" si="71">K101*J101</f>
        <v>14241.319562619472</v>
      </c>
      <c r="M101" s="150">
        <v>3.1817500000000001</v>
      </c>
      <c r="N101" s="171">
        <f t="shared" ref="N101:N103" si="72">M101*G101</f>
        <v>21638.915853554998</v>
      </c>
      <c r="O101" s="174">
        <f t="shared" ref="O101:O103" si="73">L101+N101</f>
        <v>35880.235416174473</v>
      </c>
      <c r="P101" s="128"/>
      <c r="V101" s="3"/>
      <c r="W101" s="150"/>
    </row>
    <row r="102" spans="1:23" ht="18" customHeight="1" x14ac:dyDescent="0.2">
      <c r="A102" s="124">
        <f t="shared" si="58"/>
        <v>44</v>
      </c>
      <c r="B102" s="175" t="s">
        <v>164</v>
      </c>
      <c r="C102" s="175" t="s">
        <v>167</v>
      </c>
      <c r="D102" s="177" t="s">
        <v>191</v>
      </c>
      <c r="E102" s="178">
        <f>6288.44*1.03</f>
        <v>6477.0931999999993</v>
      </c>
      <c r="F102" s="173">
        <v>0.05</v>
      </c>
      <c r="G102" s="172">
        <f t="shared" si="69"/>
        <v>6800.9478599999993</v>
      </c>
      <c r="H102" s="6" t="s">
        <v>120</v>
      </c>
      <c r="I102" s="3">
        <v>2.0247499999999998E-2</v>
      </c>
      <c r="J102" s="3">
        <f t="shared" si="70"/>
        <v>137.70219179534996</v>
      </c>
      <c r="K102" s="170">
        <v>48.89</v>
      </c>
      <c r="L102" s="150">
        <f t="shared" si="71"/>
        <v>6732.2601568746595</v>
      </c>
      <c r="M102" s="150">
        <v>1.4062000000000001</v>
      </c>
      <c r="N102" s="171">
        <f t="shared" si="72"/>
        <v>9563.4928807319993</v>
      </c>
      <c r="O102" s="174">
        <f t="shared" si="73"/>
        <v>16295.753037606659</v>
      </c>
      <c r="P102" s="128"/>
      <c r="V102" s="3"/>
      <c r="W102" s="150"/>
    </row>
    <row r="103" spans="1:23" ht="47.25" x14ac:dyDescent="0.2">
      <c r="A103" s="124">
        <f t="shared" si="58"/>
        <v>45</v>
      </c>
      <c r="B103" s="175" t="s">
        <v>164</v>
      </c>
      <c r="C103" s="175" t="s">
        <v>167</v>
      </c>
      <c r="D103" s="177" t="s">
        <v>273</v>
      </c>
      <c r="E103" s="178">
        <f>E102*3</f>
        <v>19431.279599999998</v>
      </c>
      <c r="F103" s="173">
        <v>0.05</v>
      </c>
      <c r="G103" s="172">
        <f t="shared" si="69"/>
        <v>20402.843579999997</v>
      </c>
      <c r="H103" s="6" t="s">
        <v>120</v>
      </c>
      <c r="I103" s="3">
        <v>2.414125E-2</v>
      </c>
      <c r="J103" s="3">
        <f t="shared" si="70"/>
        <v>492.55014757567494</v>
      </c>
      <c r="K103" s="170">
        <v>45.89</v>
      </c>
      <c r="L103" s="150">
        <f t="shared" si="71"/>
        <v>22603.126272247722</v>
      </c>
      <c r="M103" s="150">
        <v>2.0024999999999999</v>
      </c>
      <c r="N103" s="171">
        <f t="shared" si="72"/>
        <v>40856.694268949992</v>
      </c>
      <c r="O103" s="174">
        <f t="shared" si="73"/>
        <v>63459.820541197711</v>
      </c>
      <c r="P103" s="128"/>
      <c r="V103" s="3"/>
      <c r="W103" s="150"/>
    </row>
    <row r="104" spans="1:23" ht="47.25" x14ac:dyDescent="0.2">
      <c r="A104" s="124">
        <f t="shared" si="58"/>
        <v>46</v>
      </c>
      <c r="B104" s="175" t="s">
        <v>164</v>
      </c>
      <c r="C104" s="175" t="s">
        <v>166</v>
      </c>
      <c r="D104" s="177" t="s">
        <v>127</v>
      </c>
      <c r="E104" s="178">
        <f>6288.44*1.03</f>
        <v>6477.0931999999993</v>
      </c>
      <c r="F104" s="173">
        <v>0.05</v>
      </c>
      <c r="G104" s="172">
        <f t="shared" si="69"/>
        <v>6800.9478599999993</v>
      </c>
      <c r="H104" s="6" t="s">
        <v>120</v>
      </c>
      <c r="I104" s="3">
        <v>2.414125E-2</v>
      </c>
      <c r="J104" s="3">
        <f t="shared" ref="J104" si="74">I104*G104</f>
        <v>164.18338252522497</v>
      </c>
      <c r="K104" s="170">
        <v>48.89</v>
      </c>
      <c r="L104" s="131">
        <f t="shared" ref="L104" si="75">K104*J104</f>
        <v>8026.9255716582493</v>
      </c>
      <c r="M104" s="150">
        <v>1.2104000000000001</v>
      </c>
      <c r="N104" s="132">
        <f t="shared" ref="N104" si="76">M104*G104</f>
        <v>8231.867289744001</v>
      </c>
      <c r="O104" s="174">
        <f t="shared" ref="O104" si="77">L104+N104</f>
        <v>16258.792861402249</v>
      </c>
      <c r="P104" s="128"/>
      <c r="V104" s="3"/>
      <c r="W104" s="150"/>
    </row>
    <row r="105" spans="1:23" ht="15.75" x14ac:dyDescent="0.2">
      <c r="A105" s="124" t="str">
        <f t="shared" si="58"/>
        <v/>
      </c>
      <c r="B105" s="175"/>
      <c r="C105" s="175"/>
      <c r="D105" s="177"/>
      <c r="E105" s="178"/>
      <c r="F105" s="173"/>
      <c r="G105" s="172"/>
      <c r="H105" s="6"/>
      <c r="I105" s="3"/>
      <c r="J105" s="3"/>
      <c r="K105" s="147"/>
      <c r="L105" s="131"/>
      <c r="M105" s="131"/>
      <c r="N105" s="132"/>
      <c r="O105" s="174"/>
      <c r="P105" s="128"/>
      <c r="V105" s="3"/>
      <c r="W105" s="150"/>
    </row>
    <row r="106" spans="1:23" ht="18" customHeight="1" x14ac:dyDescent="0.2">
      <c r="A106" s="124" t="str">
        <f t="shared" si="58"/>
        <v/>
      </c>
      <c r="B106" s="175"/>
      <c r="C106" s="175"/>
      <c r="D106" s="180" t="s">
        <v>143</v>
      </c>
      <c r="E106" s="178"/>
      <c r="F106" s="173"/>
      <c r="G106" s="172"/>
      <c r="H106" s="6"/>
      <c r="I106" s="3"/>
      <c r="J106" s="3"/>
      <c r="K106" s="147"/>
      <c r="L106" s="131"/>
      <c r="M106" s="131"/>
      <c r="N106" s="132"/>
      <c r="O106" s="174"/>
      <c r="P106" s="128"/>
      <c r="V106" s="3"/>
      <c r="W106" s="150"/>
    </row>
    <row r="107" spans="1:23" ht="15.75" x14ac:dyDescent="0.2">
      <c r="A107" s="124" t="str">
        <f t="shared" si="58"/>
        <v/>
      </c>
      <c r="B107" s="175"/>
      <c r="C107" s="175"/>
      <c r="D107" s="177"/>
      <c r="E107" s="178"/>
      <c r="F107" s="173"/>
      <c r="G107" s="172"/>
      <c r="H107" s="6"/>
      <c r="I107" s="3"/>
      <c r="J107" s="3"/>
      <c r="K107" s="147"/>
      <c r="L107" s="131"/>
      <c r="M107" s="131"/>
      <c r="N107" s="132"/>
      <c r="O107" s="174"/>
      <c r="P107" s="128"/>
      <c r="V107" s="3"/>
      <c r="W107" s="150"/>
    </row>
    <row r="108" spans="1:23" ht="18.75" x14ac:dyDescent="0.2">
      <c r="A108" s="124" t="str">
        <f t="shared" si="58"/>
        <v/>
      </c>
      <c r="B108" s="175"/>
      <c r="C108" s="175"/>
      <c r="D108" s="179" t="s">
        <v>168</v>
      </c>
      <c r="E108" s="178"/>
      <c r="F108" s="173"/>
      <c r="G108" s="172"/>
      <c r="H108" s="6"/>
      <c r="I108" s="3"/>
      <c r="J108" s="3"/>
      <c r="K108" s="147"/>
      <c r="L108" s="131"/>
      <c r="M108" s="131"/>
      <c r="N108" s="132"/>
      <c r="O108" s="174"/>
      <c r="P108" s="128"/>
      <c r="V108" s="3"/>
      <c r="W108" s="150"/>
    </row>
    <row r="109" spans="1:23" ht="31.5" x14ac:dyDescent="0.2">
      <c r="A109" s="124">
        <f t="shared" si="58"/>
        <v>47</v>
      </c>
      <c r="B109" s="175" t="s">
        <v>164</v>
      </c>
      <c r="C109" s="175" t="s">
        <v>167</v>
      </c>
      <c r="D109" s="177" t="s">
        <v>165</v>
      </c>
      <c r="E109" s="178">
        <f>2384.64</f>
        <v>2384.64</v>
      </c>
      <c r="F109" s="173">
        <v>0.05</v>
      </c>
      <c r="G109" s="172">
        <f t="shared" ref="G109:G112" si="78">E109+(E109*F109)</f>
        <v>2503.8719999999998</v>
      </c>
      <c r="H109" s="6" t="s">
        <v>120</v>
      </c>
      <c r="I109" s="3">
        <v>4.2831249999999994E-2</v>
      </c>
      <c r="J109" s="3">
        <f t="shared" ref="J109:J112" si="79">I109*G109</f>
        <v>107.24396759999998</v>
      </c>
      <c r="K109" s="170">
        <v>48.89</v>
      </c>
      <c r="L109" s="150">
        <f t="shared" ref="L109:L112" si="80">K109*J109</f>
        <v>5243.1575759639991</v>
      </c>
      <c r="M109" s="150">
        <v>3.1817500000000001</v>
      </c>
      <c r="N109" s="171">
        <f t="shared" ref="N109:N112" si="81">M109*G109</f>
        <v>7966.6947359999995</v>
      </c>
      <c r="O109" s="174">
        <f t="shared" ref="O109:O112" si="82">L109+N109</f>
        <v>13209.852311963998</v>
      </c>
      <c r="P109" s="128"/>
      <c r="V109" s="3"/>
      <c r="W109" s="150"/>
    </row>
    <row r="110" spans="1:23" ht="18" customHeight="1" x14ac:dyDescent="0.2">
      <c r="A110" s="124">
        <f t="shared" si="58"/>
        <v>48</v>
      </c>
      <c r="B110" s="175" t="s">
        <v>164</v>
      </c>
      <c r="C110" s="175" t="s">
        <v>167</v>
      </c>
      <c r="D110" s="177" t="s">
        <v>191</v>
      </c>
      <c r="E110" s="178">
        <f>2384.64</f>
        <v>2384.64</v>
      </c>
      <c r="F110" s="173">
        <v>0.05</v>
      </c>
      <c r="G110" s="172">
        <f t="shared" si="78"/>
        <v>2503.8719999999998</v>
      </c>
      <c r="H110" s="6" t="s">
        <v>120</v>
      </c>
      <c r="I110" s="3">
        <v>2.0247499999999998E-2</v>
      </c>
      <c r="J110" s="3">
        <f t="shared" si="79"/>
        <v>50.697148319999989</v>
      </c>
      <c r="K110" s="170">
        <v>48.89</v>
      </c>
      <c r="L110" s="150">
        <f t="shared" si="80"/>
        <v>2478.5835813647996</v>
      </c>
      <c r="M110" s="150">
        <v>1.4062000000000001</v>
      </c>
      <c r="N110" s="171">
        <f t="shared" si="81"/>
        <v>3520.9448064000003</v>
      </c>
      <c r="O110" s="174">
        <f t="shared" si="82"/>
        <v>5999.5283877647998</v>
      </c>
      <c r="P110" s="128"/>
      <c r="V110" s="3"/>
      <c r="W110" s="150"/>
    </row>
    <row r="111" spans="1:23" ht="47.25" x14ac:dyDescent="0.2">
      <c r="A111" s="124">
        <f t="shared" si="58"/>
        <v>49</v>
      </c>
      <c r="B111" s="175" t="s">
        <v>164</v>
      </c>
      <c r="C111" s="175" t="s">
        <v>167</v>
      </c>
      <c r="D111" s="177" t="s">
        <v>273</v>
      </c>
      <c r="E111" s="178">
        <f>E110*3</f>
        <v>7153.92</v>
      </c>
      <c r="F111" s="173">
        <v>0.05</v>
      </c>
      <c r="G111" s="172">
        <f t="shared" si="78"/>
        <v>7511.616</v>
      </c>
      <c r="H111" s="6" t="s">
        <v>120</v>
      </c>
      <c r="I111" s="3">
        <v>2.414125E-2</v>
      </c>
      <c r="J111" s="3">
        <f t="shared" si="79"/>
        <v>181.33979976000001</v>
      </c>
      <c r="K111" s="170">
        <v>45.89</v>
      </c>
      <c r="L111" s="150">
        <f t="shared" si="80"/>
        <v>8321.6834109864012</v>
      </c>
      <c r="M111" s="150">
        <v>2.0024999999999999</v>
      </c>
      <c r="N111" s="171">
        <f t="shared" si="81"/>
        <v>15042.011039999999</v>
      </c>
      <c r="O111" s="174">
        <f t="shared" si="82"/>
        <v>23363.694450986401</v>
      </c>
      <c r="P111" s="128"/>
      <c r="V111" s="3"/>
      <c r="W111" s="150"/>
    </row>
    <row r="112" spans="1:23" ht="47.25" x14ac:dyDescent="0.2">
      <c r="A112" s="124">
        <f t="shared" si="58"/>
        <v>50</v>
      </c>
      <c r="B112" s="175" t="s">
        <v>164</v>
      </c>
      <c r="C112" s="175" t="s">
        <v>166</v>
      </c>
      <c r="D112" s="177" t="s">
        <v>127</v>
      </c>
      <c r="E112" s="178">
        <f>2384.64</f>
        <v>2384.64</v>
      </c>
      <c r="F112" s="173">
        <v>0.05</v>
      </c>
      <c r="G112" s="172">
        <f t="shared" si="78"/>
        <v>2503.8719999999998</v>
      </c>
      <c r="H112" s="6" t="s">
        <v>120</v>
      </c>
      <c r="I112" s="3">
        <v>2.414125E-2</v>
      </c>
      <c r="J112" s="3">
        <f t="shared" si="79"/>
        <v>60.446599919999997</v>
      </c>
      <c r="K112" s="170">
        <v>48.89</v>
      </c>
      <c r="L112" s="131">
        <f t="shared" si="80"/>
        <v>2955.2342700887998</v>
      </c>
      <c r="M112" s="150">
        <v>1.2104000000000001</v>
      </c>
      <c r="N112" s="132">
        <f t="shared" si="81"/>
        <v>3030.6866688</v>
      </c>
      <c r="O112" s="174">
        <f t="shared" si="82"/>
        <v>5985.9209388887994</v>
      </c>
      <c r="P112" s="128"/>
      <c r="V112" s="3"/>
      <c r="W112" s="150"/>
    </row>
    <row r="113" spans="1:23" ht="15.75" x14ac:dyDescent="0.2">
      <c r="A113" s="124" t="str">
        <f t="shared" si="58"/>
        <v/>
      </c>
      <c r="B113" s="175"/>
      <c r="C113" s="175"/>
      <c r="D113" s="177"/>
      <c r="E113" s="178"/>
      <c r="F113" s="173"/>
      <c r="G113" s="172"/>
      <c r="H113" s="6"/>
      <c r="I113" s="3"/>
      <c r="J113" s="3"/>
      <c r="K113" s="147"/>
      <c r="L113" s="131"/>
      <c r="M113" s="131"/>
      <c r="N113" s="132"/>
      <c r="O113" s="174"/>
      <c r="P113" s="128"/>
      <c r="V113" s="3"/>
      <c r="W113" s="150"/>
    </row>
    <row r="114" spans="1:23" ht="18" customHeight="1" x14ac:dyDescent="0.2">
      <c r="A114" s="124" t="str">
        <f t="shared" si="58"/>
        <v/>
      </c>
      <c r="B114" s="175"/>
      <c r="C114" s="175"/>
      <c r="D114" s="180" t="s">
        <v>143</v>
      </c>
      <c r="E114" s="178"/>
      <c r="F114" s="173"/>
      <c r="G114" s="172"/>
      <c r="H114" s="6"/>
      <c r="I114" s="3"/>
      <c r="J114" s="3"/>
      <c r="K114" s="147"/>
      <c r="L114" s="131"/>
      <c r="M114" s="131"/>
      <c r="N114" s="132"/>
      <c r="O114" s="174"/>
      <c r="P114" s="128"/>
      <c r="V114" s="3"/>
      <c r="W114" s="150"/>
    </row>
    <row r="115" spans="1:23" ht="15.75" x14ac:dyDescent="0.2">
      <c r="A115" s="124" t="str">
        <f t="shared" si="58"/>
        <v/>
      </c>
      <c r="B115" s="175"/>
      <c r="C115" s="175"/>
      <c r="D115" s="177"/>
      <c r="E115" s="178"/>
      <c r="F115" s="173"/>
      <c r="G115" s="172"/>
      <c r="H115" s="6"/>
      <c r="I115" s="3"/>
      <c r="J115" s="3"/>
      <c r="K115" s="147"/>
      <c r="L115" s="131"/>
      <c r="M115" s="131"/>
      <c r="N115" s="132"/>
      <c r="O115" s="174"/>
      <c r="P115" s="128"/>
      <c r="V115" s="3"/>
      <c r="W115" s="150"/>
    </row>
    <row r="116" spans="1:23" ht="18.75" x14ac:dyDescent="0.2">
      <c r="A116" s="124" t="str">
        <f t="shared" si="58"/>
        <v/>
      </c>
      <c r="B116" s="175"/>
      <c r="C116" s="175"/>
      <c r="D116" s="179" t="s">
        <v>169</v>
      </c>
      <c r="E116" s="178"/>
      <c r="F116" s="173"/>
      <c r="G116" s="172"/>
      <c r="H116" s="6"/>
      <c r="I116" s="3"/>
      <c r="J116" s="3"/>
      <c r="K116" s="147"/>
      <c r="L116" s="131"/>
      <c r="M116" s="131"/>
      <c r="N116" s="132"/>
      <c r="O116" s="174"/>
      <c r="P116" s="128"/>
      <c r="V116" s="3"/>
      <c r="W116" s="150"/>
    </row>
    <row r="117" spans="1:23" ht="31.5" x14ac:dyDescent="0.2">
      <c r="A117" s="124">
        <f t="shared" si="58"/>
        <v>51</v>
      </c>
      <c r="B117" s="175" t="s">
        <v>164</v>
      </c>
      <c r="C117" s="175" t="s">
        <v>167</v>
      </c>
      <c r="D117" s="177" t="s">
        <v>188</v>
      </c>
      <c r="E117" s="178">
        <f>7941.32*1.03</f>
        <v>8179.5595999999996</v>
      </c>
      <c r="F117" s="173">
        <v>0.05</v>
      </c>
      <c r="G117" s="172">
        <f t="shared" ref="G117:G120" si="83">E117+(E117*F117)</f>
        <v>8588.5375800000002</v>
      </c>
      <c r="H117" s="6" t="s">
        <v>120</v>
      </c>
      <c r="I117" s="3">
        <v>4.2831249999999994E-2</v>
      </c>
      <c r="J117" s="3">
        <f t="shared" ref="J117:J120" si="84">I117*G117</f>
        <v>367.85780022337497</v>
      </c>
      <c r="K117" s="170">
        <v>48.89</v>
      </c>
      <c r="L117" s="150">
        <f t="shared" ref="L117:L120" si="85">K117*J117</f>
        <v>17984.567852920802</v>
      </c>
      <c r="M117" s="150">
        <v>3.1817500000000001</v>
      </c>
      <c r="N117" s="171">
        <f t="shared" ref="N117:N120" si="86">M117*G117</f>
        <v>27326.579445165</v>
      </c>
      <c r="O117" s="174">
        <f t="shared" ref="O117:O120" si="87">L117+N117</f>
        <v>45311.147298085802</v>
      </c>
      <c r="P117" s="128"/>
      <c r="V117" s="3"/>
      <c r="W117" s="150"/>
    </row>
    <row r="118" spans="1:23" ht="18" customHeight="1" x14ac:dyDescent="0.2">
      <c r="A118" s="124">
        <f t="shared" si="58"/>
        <v>52</v>
      </c>
      <c r="B118" s="175" t="s">
        <v>164</v>
      </c>
      <c r="C118" s="175" t="s">
        <v>167</v>
      </c>
      <c r="D118" s="177" t="s">
        <v>191</v>
      </c>
      <c r="E118" s="178">
        <f>7941.32*1.03</f>
        <v>8179.5595999999996</v>
      </c>
      <c r="F118" s="173">
        <v>0.05</v>
      </c>
      <c r="G118" s="172">
        <f t="shared" si="83"/>
        <v>8588.5375800000002</v>
      </c>
      <c r="H118" s="6" t="s">
        <v>120</v>
      </c>
      <c r="I118" s="3">
        <v>2.0247499999999998E-2</v>
      </c>
      <c r="J118" s="3">
        <f t="shared" si="84"/>
        <v>173.89641465104998</v>
      </c>
      <c r="K118" s="170">
        <v>48.89</v>
      </c>
      <c r="L118" s="150">
        <f t="shared" si="85"/>
        <v>8501.7957122898333</v>
      </c>
      <c r="M118" s="150">
        <v>1.4062000000000001</v>
      </c>
      <c r="N118" s="171">
        <f t="shared" si="86"/>
        <v>12077.201544996002</v>
      </c>
      <c r="O118" s="174">
        <f t="shared" si="87"/>
        <v>20578.997257285835</v>
      </c>
      <c r="P118" s="128"/>
      <c r="V118" s="3"/>
      <c r="W118" s="150"/>
    </row>
    <row r="119" spans="1:23" ht="47.25" x14ac:dyDescent="0.2">
      <c r="A119" s="124">
        <f t="shared" si="58"/>
        <v>53</v>
      </c>
      <c r="B119" s="175" t="s">
        <v>164</v>
      </c>
      <c r="C119" s="175" t="s">
        <v>167</v>
      </c>
      <c r="D119" s="177" t="s">
        <v>273</v>
      </c>
      <c r="E119" s="178">
        <f>E118*3</f>
        <v>24538.678799999998</v>
      </c>
      <c r="F119" s="173">
        <v>0.05</v>
      </c>
      <c r="G119" s="172">
        <f t="shared" si="83"/>
        <v>25765.612739999997</v>
      </c>
      <c r="H119" s="6" t="s">
        <v>120</v>
      </c>
      <c r="I119" s="3">
        <v>2.414125E-2</v>
      </c>
      <c r="J119" s="3">
        <f t="shared" si="84"/>
        <v>622.01409855952488</v>
      </c>
      <c r="K119" s="170">
        <v>45.89</v>
      </c>
      <c r="L119" s="150">
        <f t="shared" si="85"/>
        <v>28544.226982896598</v>
      </c>
      <c r="M119" s="150">
        <v>2.0024999999999999</v>
      </c>
      <c r="N119" s="171">
        <f t="shared" si="86"/>
        <v>51595.639511849993</v>
      </c>
      <c r="O119" s="174">
        <f t="shared" si="87"/>
        <v>80139.866494746588</v>
      </c>
      <c r="P119" s="128"/>
      <c r="V119" s="3"/>
      <c r="W119" s="150"/>
    </row>
    <row r="120" spans="1:23" ht="47.25" x14ac:dyDescent="0.2">
      <c r="A120" s="124">
        <f t="shared" si="58"/>
        <v>54</v>
      </c>
      <c r="B120" s="175" t="s">
        <v>164</v>
      </c>
      <c r="C120" s="175" t="s">
        <v>166</v>
      </c>
      <c r="D120" s="177" t="s">
        <v>127</v>
      </c>
      <c r="E120" s="178">
        <f>7941.32*1.03</f>
        <v>8179.5595999999996</v>
      </c>
      <c r="F120" s="173">
        <v>0.05</v>
      </c>
      <c r="G120" s="172">
        <f t="shared" si="83"/>
        <v>8588.5375800000002</v>
      </c>
      <c r="H120" s="6" t="s">
        <v>120</v>
      </c>
      <c r="I120" s="3">
        <v>2.414125E-2</v>
      </c>
      <c r="J120" s="3">
        <f t="shared" si="84"/>
        <v>207.33803285317501</v>
      </c>
      <c r="K120" s="170">
        <v>48.89</v>
      </c>
      <c r="L120" s="131">
        <f t="shared" si="85"/>
        <v>10136.756426191727</v>
      </c>
      <c r="M120" s="150">
        <v>1.2104000000000001</v>
      </c>
      <c r="N120" s="132">
        <f t="shared" si="86"/>
        <v>10395.565886832001</v>
      </c>
      <c r="O120" s="174">
        <f t="shared" si="87"/>
        <v>20532.322313023727</v>
      </c>
      <c r="P120" s="128"/>
      <c r="V120" s="3"/>
      <c r="W120" s="150"/>
    </row>
    <row r="121" spans="1:23" ht="15.75" x14ac:dyDescent="0.2">
      <c r="A121" s="124" t="str">
        <f t="shared" si="58"/>
        <v/>
      </c>
      <c r="B121" s="175"/>
      <c r="C121" s="175"/>
      <c r="D121" s="177"/>
      <c r="E121" s="178"/>
      <c r="F121" s="173"/>
      <c r="G121" s="172"/>
      <c r="H121" s="6"/>
      <c r="I121" s="3"/>
      <c r="J121" s="3"/>
      <c r="K121" s="147"/>
      <c r="L121" s="131"/>
      <c r="M121" s="131"/>
      <c r="N121" s="132"/>
      <c r="O121" s="174"/>
      <c r="P121" s="128"/>
      <c r="V121" s="3"/>
      <c r="W121" s="150"/>
    </row>
    <row r="122" spans="1:23" ht="18" customHeight="1" x14ac:dyDescent="0.2">
      <c r="A122" s="124" t="str">
        <f t="shared" si="58"/>
        <v/>
      </c>
      <c r="B122" s="175"/>
      <c r="C122" s="175"/>
      <c r="D122" s="180" t="s">
        <v>143</v>
      </c>
      <c r="E122" s="178"/>
      <c r="F122" s="173"/>
      <c r="G122" s="172"/>
      <c r="H122" s="6"/>
      <c r="I122" s="3"/>
      <c r="J122" s="3"/>
      <c r="K122" s="147"/>
      <c r="L122" s="131"/>
      <c r="M122" s="131"/>
      <c r="N122" s="132"/>
      <c r="O122" s="174"/>
      <c r="P122" s="128"/>
      <c r="V122" s="3"/>
      <c r="W122" s="150"/>
    </row>
    <row r="123" spans="1:23" ht="15.75" x14ac:dyDescent="0.2">
      <c r="A123" s="124" t="str">
        <f t="shared" si="58"/>
        <v/>
      </c>
      <c r="B123" s="175"/>
      <c r="C123" s="175"/>
      <c r="D123" s="177"/>
      <c r="E123" s="178"/>
      <c r="F123" s="173"/>
      <c r="G123" s="172"/>
      <c r="H123" s="6"/>
      <c r="I123" s="3"/>
      <c r="J123" s="3"/>
      <c r="K123" s="147"/>
      <c r="L123" s="131"/>
      <c r="M123" s="131"/>
      <c r="N123" s="132"/>
      <c r="O123" s="174"/>
      <c r="P123" s="128"/>
      <c r="V123" s="3"/>
      <c r="W123" s="150"/>
    </row>
    <row r="124" spans="1:23" ht="18.75" x14ac:dyDescent="0.2">
      <c r="A124" s="124" t="str">
        <f t="shared" si="58"/>
        <v/>
      </c>
      <c r="B124" s="175"/>
      <c r="C124" s="175"/>
      <c r="D124" s="179" t="s">
        <v>170</v>
      </c>
      <c r="E124" s="178"/>
      <c r="F124" s="173"/>
      <c r="G124" s="172"/>
      <c r="H124" s="6"/>
      <c r="I124" s="3"/>
      <c r="J124" s="3"/>
      <c r="K124" s="147"/>
      <c r="L124" s="131"/>
      <c r="M124" s="131"/>
      <c r="N124" s="132"/>
      <c r="O124" s="174"/>
      <c r="P124" s="128"/>
      <c r="V124" s="3"/>
      <c r="W124" s="150"/>
    </row>
    <row r="125" spans="1:23" ht="31.5" x14ac:dyDescent="0.2">
      <c r="A125" s="124">
        <f t="shared" si="58"/>
        <v>55</v>
      </c>
      <c r="B125" s="175" t="s">
        <v>164</v>
      </c>
      <c r="C125" s="175" t="s">
        <v>167</v>
      </c>
      <c r="D125" s="177" t="s">
        <v>165</v>
      </c>
      <c r="E125" s="178">
        <f>2071.58</f>
        <v>2071.58</v>
      </c>
      <c r="F125" s="173">
        <v>0.05</v>
      </c>
      <c r="G125" s="172">
        <f t="shared" ref="G125:G128" si="88">E125+(E125*F125)</f>
        <v>2175.1590000000001</v>
      </c>
      <c r="H125" s="6" t="s">
        <v>120</v>
      </c>
      <c r="I125" s="3">
        <v>4.2831249999999994E-2</v>
      </c>
      <c r="J125" s="3">
        <f t="shared" ref="J125:J128" si="89">I125*G125</f>
        <v>93.164778918749988</v>
      </c>
      <c r="K125" s="170">
        <v>48.89</v>
      </c>
      <c r="L125" s="150">
        <f t="shared" ref="L125:L128" si="90">K125*J125</f>
        <v>4554.8260413376865</v>
      </c>
      <c r="M125" s="150">
        <v>3.1817500000000001</v>
      </c>
      <c r="N125" s="171">
        <f t="shared" ref="N125:N128" si="91">M125*G125</f>
        <v>6920.8121482500001</v>
      </c>
      <c r="O125" s="174">
        <f t="shared" ref="O125:O128" si="92">L125+N125</f>
        <v>11475.638189587688</v>
      </c>
      <c r="P125" s="128"/>
      <c r="V125" s="3"/>
      <c r="W125" s="150"/>
    </row>
    <row r="126" spans="1:23" ht="18" customHeight="1" x14ac:dyDescent="0.2">
      <c r="A126" s="124">
        <f t="shared" si="58"/>
        <v>56</v>
      </c>
      <c r="B126" s="175" t="s">
        <v>164</v>
      </c>
      <c r="C126" s="175" t="s">
        <v>167</v>
      </c>
      <c r="D126" s="177" t="s">
        <v>191</v>
      </c>
      <c r="E126" s="178">
        <f>2071.58</f>
        <v>2071.58</v>
      </c>
      <c r="F126" s="173">
        <v>0.05</v>
      </c>
      <c r="G126" s="172">
        <f t="shared" si="88"/>
        <v>2175.1590000000001</v>
      </c>
      <c r="H126" s="6" t="s">
        <v>120</v>
      </c>
      <c r="I126" s="3">
        <v>2.0247499999999998E-2</v>
      </c>
      <c r="J126" s="3">
        <f t="shared" si="89"/>
        <v>44.0415318525</v>
      </c>
      <c r="K126" s="170">
        <v>48.89</v>
      </c>
      <c r="L126" s="150">
        <f t="shared" si="90"/>
        <v>2153.1904922687249</v>
      </c>
      <c r="M126" s="150">
        <v>1.4062000000000001</v>
      </c>
      <c r="N126" s="171">
        <f t="shared" si="91"/>
        <v>3058.7085858000005</v>
      </c>
      <c r="O126" s="174">
        <f t="shared" si="92"/>
        <v>5211.8990780687254</v>
      </c>
      <c r="P126" s="128"/>
      <c r="V126" s="3"/>
      <c r="W126" s="150"/>
    </row>
    <row r="127" spans="1:23" ht="47.25" x14ac:dyDescent="0.2">
      <c r="A127" s="124">
        <f t="shared" si="58"/>
        <v>57</v>
      </c>
      <c r="B127" s="175" t="s">
        <v>164</v>
      </c>
      <c r="C127" s="175" t="s">
        <v>167</v>
      </c>
      <c r="D127" s="177" t="s">
        <v>273</v>
      </c>
      <c r="E127" s="178">
        <f>E126*3</f>
        <v>6214.74</v>
      </c>
      <c r="F127" s="173">
        <v>0.05</v>
      </c>
      <c r="G127" s="172">
        <f t="shared" si="88"/>
        <v>6525.4769999999999</v>
      </c>
      <c r="H127" s="6" t="s">
        <v>120</v>
      </c>
      <c r="I127" s="3">
        <v>2.414125E-2</v>
      </c>
      <c r="J127" s="3">
        <f t="shared" si="89"/>
        <v>157.53317162624998</v>
      </c>
      <c r="K127" s="170">
        <v>45.89</v>
      </c>
      <c r="L127" s="150">
        <f t="shared" si="90"/>
        <v>7229.1972459286117</v>
      </c>
      <c r="M127" s="150">
        <v>2.0024999999999999</v>
      </c>
      <c r="N127" s="171">
        <f t="shared" si="91"/>
        <v>13067.2676925</v>
      </c>
      <c r="O127" s="174">
        <f t="shared" si="92"/>
        <v>20296.464938428609</v>
      </c>
      <c r="P127" s="128"/>
      <c r="V127" s="3"/>
      <c r="W127" s="150"/>
    </row>
    <row r="128" spans="1:23" ht="47.25" x14ac:dyDescent="0.2">
      <c r="A128" s="124">
        <f t="shared" si="58"/>
        <v>58</v>
      </c>
      <c r="B128" s="175" t="s">
        <v>164</v>
      </c>
      <c r="C128" s="175" t="s">
        <v>166</v>
      </c>
      <c r="D128" s="177" t="s">
        <v>127</v>
      </c>
      <c r="E128" s="178">
        <f>2071.58</f>
        <v>2071.58</v>
      </c>
      <c r="F128" s="173">
        <v>0.05</v>
      </c>
      <c r="G128" s="172">
        <f t="shared" si="88"/>
        <v>2175.1590000000001</v>
      </c>
      <c r="H128" s="6" t="s">
        <v>120</v>
      </c>
      <c r="I128" s="3">
        <v>2.414125E-2</v>
      </c>
      <c r="J128" s="3">
        <f t="shared" si="89"/>
        <v>52.511057208750003</v>
      </c>
      <c r="K128" s="170">
        <v>48.89</v>
      </c>
      <c r="L128" s="131">
        <f t="shared" si="90"/>
        <v>2567.2655869357877</v>
      </c>
      <c r="M128" s="150">
        <v>1.2104000000000001</v>
      </c>
      <c r="N128" s="132">
        <f t="shared" si="91"/>
        <v>2632.8124536000005</v>
      </c>
      <c r="O128" s="174">
        <f t="shared" si="92"/>
        <v>5200.0780405357882</v>
      </c>
      <c r="P128" s="128"/>
      <c r="V128" s="3"/>
      <c r="W128" s="150"/>
    </row>
    <row r="129" spans="1:23" ht="15.75" x14ac:dyDescent="0.2">
      <c r="A129" s="124" t="str">
        <f t="shared" si="58"/>
        <v/>
      </c>
      <c r="B129" s="175"/>
      <c r="C129" s="175"/>
      <c r="D129" s="177"/>
      <c r="E129" s="178"/>
      <c r="F129" s="173"/>
      <c r="G129" s="172"/>
      <c r="H129" s="6"/>
      <c r="I129" s="3"/>
      <c r="J129" s="3"/>
      <c r="K129" s="147"/>
      <c r="L129" s="131"/>
      <c r="M129" s="131"/>
      <c r="N129" s="132"/>
      <c r="O129" s="174"/>
      <c r="P129" s="128"/>
      <c r="V129" s="3"/>
      <c r="W129" s="150"/>
    </row>
    <row r="130" spans="1:23" ht="18" customHeight="1" x14ac:dyDescent="0.2">
      <c r="A130" s="124" t="str">
        <f t="shared" si="58"/>
        <v/>
      </c>
      <c r="B130" s="175"/>
      <c r="C130" s="175"/>
      <c r="D130" s="180" t="s">
        <v>143</v>
      </c>
      <c r="E130" s="178"/>
      <c r="F130" s="173"/>
      <c r="G130" s="172"/>
      <c r="H130" s="6"/>
      <c r="I130" s="3"/>
      <c r="J130" s="3"/>
      <c r="K130" s="147"/>
      <c r="L130" s="131"/>
      <c r="M130" s="131"/>
      <c r="N130" s="132"/>
      <c r="O130" s="174"/>
      <c r="P130" s="128"/>
      <c r="V130" s="3"/>
      <c r="W130" s="150"/>
    </row>
    <row r="131" spans="1:23" ht="15.75" x14ac:dyDescent="0.2">
      <c r="A131" s="124" t="str">
        <f t="shared" si="58"/>
        <v/>
      </c>
      <c r="B131" s="175"/>
      <c r="C131" s="175"/>
      <c r="D131" s="177"/>
      <c r="E131" s="178"/>
      <c r="F131" s="173"/>
      <c r="G131" s="172"/>
      <c r="H131" s="6"/>
      <c r="I131" s="3"/>
      <c r="J131" s="3"/>
      <c r="K131" s="147"/>
      <c r="L131" s="131"/>
      <c r="M131" s="131"/>
      <c r="N131" s="132"/>
      <c r="O131" s="174"/>
      <c r="P131" s="128"/>
      <c r="V131" s="3"/>
      <c r="W131" s="150"/>
    </row>
    <row r="132" spans="1:23" ht="18.75" x14ac:dyDescent="0.2">
      <c r="A132" s="124" t="str">
        <f t="shared" si="58"/>
        <v/>
      </c>
      <c r="B132" s="175"/>
      <c r="C132" s="175"/>
      <c r="D132" s="179" t="s">
        <v>171</v>
      </c>
      <c r="E132" s="178"/>
      <c r="F132" s="173"/>
      <c r="G132" s="172"/>
      <c r="H132" s="6"/>
      <c r="I132" s="3"/>
      <c r="J132" s="3"/>
      <c r="K132" s="147"/>
      <c r="L132" s="131"/>
      <c r="M132" s="131"/>
      <c r="N132" s="132"/>
      <c r="O132" s="174"/>
      <c r="P132" s="128"/>
      <c r="V132" s="3"/>
      <c r="W132" s="150"/>
    </row>
    <row r="133" spans="1:23" ht="31.5" x14ac:dyDescent="0.2">
      <c r="A133" s="124">
        <f t="shared" si="58"/>
        <v>59</v>
      </c>
      <c r="B133" s="175" t="s">
        <v>164</v>
      </c>
      <c r="C133" s="175" t="s">
        <v>167</v>
      </c>
      <c r="D133" s="177" t="s">
        <v>188</v>
      </c>
      <c r="E133" s="178">
        <f>2793.95*1.03</f>
        <v>2877.7684999999997</v>
      </c>
      <c r="F133" s="173">
        <v>0.05</v>
      </c>
      <c r="G133" s="172">
        <f t="shared" ref="G133:G136" si="93">E133+(E133*F133)</f>
        <v>3021.6569249999998</v>
      </c>
      <c r="H133" s="6" t="s">
        <v>120</v>
      </c>
      <c r="I133" s="3">
        <v>4.2831249999999994E-2</v>
      </c>
      <c r="J133" s="3">
        <f t="shared" ref="J133:J136" si="94">I133*G133</f>
        <v>129.42134316890622</v>
      </c>
      <c r="K133" s="170">
        <v>48.89</v>
      </c>
      <c r="L133" s="150">
        <f t="shared" ref="L133:L136" si="95">K133*J133</f>
        <v>6327.4094675278247</v>
      </c>
      <c r="M133" s="150">
        <v>3.1817500000000001</v>
      </c>
      <c r="N133" s="171">
        <f t="shared" ref="N133:N136" si="96">M133*G133</f>
        <v>9614.1569211187489</v>
      </c>
      <c r="O133" s="174">
        <f t="shared" ref="O133:O136" si="97">L133+N133</f>
        <v>15941.566388646574</v>
      </c>
      <c r="P133" s="128"/>
      <c r="V133" s="3"/>
      <c r="W133" s="150"/>
    </row>
    <row r="134" spans="1:23" ht="18" customHeight="1" x14ac:dyDescent="0.2">
      <c r="A134" s="124">
        <f t="shared" si="58"/>
        <v>60</v>
      </c>
      <c r="B134" s="175" t="s">
        <v>164</v>
      </c>
      <c r="C134" s="175" t="s">
        <v>167</v>
      </c>
      <c r="D134" s="177" t="s">
        <v>191</v>
      </c>
      <c r="E134" s="178">
        <f>2793.95*1.03</f>
        <v>2877.7684999999997</v>
      </c>
      <c r="F134" s="173">
        <v>0.05</v>
      </c>
      <c r="G134" s="172">
        <f t="shared" si="93"/>
        <v>3021.6569249999998</v>
      </c>
      <c r="H134" s="6" t="s">
        <v>120</v>
      </c>
      <c r="I134" s="3">
        <v>2.0247499999999998E-2</v>
      </c>
      <c r="J134" s="3">
        <f t="shared" si="94"/>
        <v>61.180998588937491</v>
      </c>
      <c r="K134" s="170">
        <v>48.89</v>
      </c>
      <c r="L134" s="150">
        <f t="shared" si="95"/>
        <v>2991.139021013154</v>
      </c>
      <c r="M134" s="150">
        <v>1.4062000000000001</v>
      </c>
      <c r="N134" s="171">
        <f t="shared" si="96"/>
        <v>4249.0539679350004</v>
      </c>
      <c r="O134" s="174">
        <f t="shared" si="97"/>
        <v>7240.1929889481544</v>
      </c>
      <c r="P134" s="128"/>
      <c r="V134" s="3"/>
      <c r="W134" s="150"/>
    </row>
    <row r="135" spans="1:23" ht="47.25" x14ac:dyDescent="0.2">
      <c r="A135" s="124">
        <f t="shared" si="58"/>
        <v>61</v>
      </c>
      <c r="B135" s="175" t="s">
        <v>164</v>
      </c>
      <c r="C135" s="175" t="s">
        <v>167</v>
      </c>
      <c r="D135" s="177" t="s">
        <v>273</v>
      </c>
      <c r="E135" s="178">
        <f>E134*3</f>
        <v>8633.3054999999986</v>
      </c>
      <c r="F135" s="173">
        <v>0.05</v>
      </c>
      <c r="G135" s="172">
        <f t="shared" si="93"/>
        <v>9064.970774999998</v>
      </c>
      <c r="H135" s="6" t="s">
        <v>120</v>
      </c>
      <c r="I135" s="3">
        <v>2.414125E-2</v>
      </c>
      <c r="J135" s="3">
        <f t="shared" si="94"/>
        <v>218.8397257219687</v>
      </c>
      <c r="K135" s="170">
        <v>45.89</v>
      </c>
      <c r="L135" s="150">
        <f t="shared" si="95"/>
        <v>10042.555013381145</v>
      </c>
      <c r="M135" s="150">
        <v>2.0024999999999999</v>
      </c>
      <c r="N135" s="171">
        <f t="shared" si="96"/>
        <v>18152.603976937495</v>
      </c>
      <c r="O135" s="174">
        <f t="shared" si="97"/>
        <v>28195.15899031864</v>
      </c>
      <c r="P135" s="128"/>
      <c r="V135" s="3"/>
      <c r="W135" s="150"/>
    </row>
    <row r="136" spans="1:23" ht="47.25" x14ac:dyDescent="0.2">
      <c r="A136" s="124">
        <f t="shared" si="58"/>
        <v>62</v>
      </c>
      <c r="B136" s="175" t="s">
        <v>164</v>
      </c>
      <c r="C136" s="175" t="s">
        <v>166</v>
      </c>
      <c r="D136" s="177" t="s">
        <v>127</v>
      </c>
      <c r="E136" s="178">
        <f>2793.95*1.03</f>
        <v>2877.7684999999997</v>
      </c>
      <c r="F136" s="173">
        <v>0.05</v>
      </c>
      <c r="G136" s="172">
        <f t="shared" si="93"/>
        <v>3021.6569249999998</v>
      </c>
      <c r="H136" s="6" t="s">
        <v>120</v>
      </c>
      <c r="I136" s="3">
        <v>2.414125E-2</v>
      </c>
      <c r="J136" s="3">
        <f t="shared" si="94"/>
        <v>72.946575240656244</v>
      </c>
      <c r="K136" s="170">
        <v>48.89</v>
      </c>
      <c r="L136" s="131">
        <f t="shared" si="95"/>
        <v>3566.3580635156836</v>
      </c>
      <c r="M136" s="150">
        <v>1.2104000000000001</v>
      </c>
      <c r="N136" s="132">
        <f t="shared" si="96"/>
        <v>3657.41354202</v>
      </c>
      <c r="O136" s="174">
        <f t="shared" si="97"/>
        <v>7223.7716055356832</v>
      </c>
      <c r="P136" s="128"/>
      <c r="V136" s="3"/>
      <c r="W136" s="150"/>
    </row>
    <row r="137" spans="1:23" ht="15.75" x14ac:dyDescent="0.2">
      <c r="A137" s="124" t="str">
        <f t="shared" si="58"/>
        <v/>
      </c>
      <c r="B137" s="175"/>
      <c r="C137" s="175"/>
      <c r="D137" s="177"/>
      <c r="E137" s="178"/>
      <c r="F137" s="173"/>
      <c r="G137" s="172"/>
      <c r="H137" s="6"/>
      <c r="I137" s="3"/>
      <c r="J137" s="3"/>
      <c r="K137" s="147"/>
      <c r="L137" s="131"/>
      <c r="M137" s="131"/>
      <c r="N137" s="132"/>
      <c r="O137" s="174"/>
      <c r="P137" s="128"/>
      <c r="V137" s="3"/>
      <c r="W137" s="150"/>
    </row>
    <row r="138" spans="1:23" ht="18" customHeight="1" x14ac:dyDescent="0.2">
      <c r="A138" s="124" t="str">
        <f t="shared" si="58"/>
        <v/>
      </c>
      <c r="B138" s="175"/>
      <c r="C138" s="175"/>
      <c r="D138" s="180" t="s">
        <v>143</v>
      </c>
      <c r="E138" s="178"/>
      <c r="F138" s="173"/>
      <c r="G138" s="172"/>
      <c r="H138" s="6"/>
      <c r="I138" s="3"/>
      <c r="J138" s="3"/>
      <c r="K138" s="147"/>
      <c r="L138" s="131"/>
      <c r="M138" s="131"/>
      <c r="N138" s="132"/>
      <c r="O138" s="174"/>
      <c r="P138" s="128"/>
      <c r="V138" s="3"/>
      <c r="W138" s="150"/>
    </row>
    <row r="139" spans="1:23" ht="15.75" x14ac:dyDescent="0.2">
      <c r="A139" s="124" t="str">
        <f t="shared" si="58"/>
        <v/>
      </c>
      <c r="B139" s="175"/>
      <c r="C139" s="175"/>
      <c r="D139" s="177"/>
      <c r="E139" s="178"/>
      <c r="F139" s="173"/>
      <c r="G139" s="172"/>
      <c r="H139" s="6"/>
      <c r="I139" s="3"/>
      <c r="J139" s="3"/>
      <c r="K139" s="147"/>
      <c r="L139" s="131"/>
      <c r="M139" s="131"/>
      <c r="N139" s="132"/>
      <c r="O139" s="174"/>
      <c r="P139" s="128"/>
      <c r="V139" s="3"/>
      <c r="W139" s="150"/>
    </row>
    <row r="140" spans="1:23" ht="18.75" x14ac:dyDescent="0.2">
      <c r="A140" s="124" t="str">
        <f t="shared" si="58"/>
        <v/>
      </c>
      <c r="B140" s="175"/>
      <c r="C140" s="175"/>
      <c r="D140" s="179" t="s">
        <v>172</v>
      </c>
      <c r="E140" s="178"/>
      <c r="F140" s="173"/>
      <c r="G140" s="172"/>
      <c r="H140" s="6"/>
      <c r="I140" s="3"/>
      <c r="J140" s="3"/>
      <c r="K140" s="147"/>
      <c r="L140" s="131"/>
      <c r="M140" s="131"/>
      <c r="N140" s="132"/>
      <c r="O140" s="174"/>
      <c r="P140" s="128"/>
      <c r="V140" s="3"/>
      <c r="W140" s="150"/>
    </row>
    <row r="141" spans="1:23" ht="31.5" x14ac:dyDescent="0.2">
      <c r="A141" s="124">
        <f t="shared" si="58"/>
        <v>63</v>
      </c>
      <c r="B141" s="175" t="s">
        <v>164</v>
      </c>
      <c r="C141" s="175" t="s">
        <v>167</v>
      </c>
      <c r="D141" s="177" t="s">
        <v>188</v>
      </c>
      <c r="E141" s="178">
        <f>6283.63*1.03</f>
        <v>6472.1388999999999</v>
      </c>
      <c r="F141" s="173">
        <v>0.05</v>
      </c>
      <c r="G141" s="172">
        <f t="shared" ref="G141:G144" si="98">E141+(E141*F141)</f>
        <v>6795.7458449999995</v>
      </c>
      <c r="H141" s="6" t="s">
        <v>120</v>
      </c>
      <c r="I141" s="3">
        <v>4.2831249999999994E-2</v>
      </c>
      <c r="J141" s="3">
        <f t="shared" ref="J141:J144" si="99">I141*G141</f>
        <v>291.07028922365618</v>
      </c>
      <c r="K141" s="170">
        <v>48.89</v>
      </c>
      <c r="L141" s="150">
        <f t="shared" ref="L141:L144" si="100">K141*J141</f>
        <v>14230.426440144551</v>
      </c>
      <c r="M141" s="150">
        <v>3.1817500000000001</v>
      </c>
      <c r="N141" s="171">
        <f t="shared" ref="N141:N144" si="101">M141*G141</f>
        <v>21622.36434232875</v>
      </c>
      <c r="O141" s="174">
        <f t="shared" ref="O141:O144" si="102">L141+N141</f>
        <v>35852.790782473297</v>
      </c>
      <c r="P141" s="128"/>
      <c r="V141" s="3"/>
      <c r="W141" s="150"/>
    </row>
    <row r="142" spans="1:23" ht="18" customHeight="1" x14ac:dyDescent="0.2">
      <c r="A142" s="124">
        <f t="shared" si="58"/>
        <v>64</v>
      </c>
      <c r="B142" s="175" t="s">
        <v>164</v>
      </c>
      <c r="C142" s="175" t="s">
        <v>167</v>
      </c>
      <c r="D142" s="177" t="s">
        <v>191</v>
      </c>
      <c r="E142" s="178">
        <f>6283.63*1.03</f>
        <v>6472.1388999999999</v>
      </c>
      <c r="F142" s="173">
        <v>0.05</v>
      </c>
      <c r="G142" s="172">
        <f t="shared" si="98"/>
        <v>6795.7458449999995</v>
      </c>
      <c r="H142" s="6" t="s">
        <v>120</v>
      </c>
      <c r="I142" s="3">
        <v>2.0247499999999998E-2</v>
      </c>
      <c r="J142" s="3">
        <f t="shared" si="99"/>
        <v>137.59686399663747</v>
      </c>
      <c r="K142" s="170">
        <v>48.89</v>
      </c>
      <c r="L142" s="150">
        <f t="shared" si="100"/>
        <v>6727.1106807956057</v>
      </c>
      <c r="M142" s="150">
        <v>1.4062000000000001</v>
      </c>
      <c r="N142" s="171">
        <f t="shared" si="101"/>
        <v>9556.1778072390007</v>
      </c>
      <c r="O142" s="174">
        <f t="shared" si="102"/>
        <v>16283.288488034606</v>
      </c>
      <c r="P142" s="128"/>
      <c r="V142" s="3"/>
      <c r="W142" s="150"/>
    </row>
    <row r="143" spans="1:23" ht="47.25" x14ac:dyDescent="0.2">
      <c r="A143" s="124">
        <f t="shared" si="58"/>
        <v>65</v>
      </c>
      <c r="B143" s="175" t="s">
        <v>164</v>
      </c>
      <c r="C143" s="175" t="s">
        <v>167</v>
      </c>
      <c r="D143" s="177" t="s">
        <v>273</v>
      </c>
      <c r="E143" s="178">
        <f>E142*3</f>
        <v>19416.416700000002</v>
      </c>
      <c r="F143" s="173">
        <v>0.05</v>
      </c>
      <c r="G143" s="172">
        <f t="shared" si="98"/>
        <v>20387.237535</v>
      </c>
      <c r="H143" s="6" t="s">
        <v>120</v>
      </c>
      <c r="I143" s="3">
        <v>2.414125E-2</v>
      </c>
      <c r="J143" s="3">
        <f t="shared" si="99"/>
        <v>492.17339814181872</v>
      </c>
      <c r="K143" s="170">
        <v>45.89</v>
      </c>
      <c r="L143" s="150">
        <f t="shared" si="100"/>
        <v>22585.837240728062</v>
      </c>
      <c r="M143" s="150">
        <v>2.0024999999999999</v>
      </c>
      <c r="N143" s="171">
        <f t="shared" si="101"/>
        <v>40825.443163837503</v>
      </c>
      <c r="O143" s="174">
        <f t="shared" si="102"/>
        <v>63411.280404565565</v>
      </c>
      <c r="P143" s="128"/>
      <c r="V143" s="3"/>
      <c r="W143" s="150"/>
    </row>
    <row r="144" spans="1:23" ht="47.25" x14ac:dyDescent="0.2">
      <c r="A144" s="124">
        <f t="shared" si="58"/>
        <v>66</v>
      </c>
      <c r="B144" s="175" t="s">
        <v>164</v>
      </c>
      <c r="C144" s="175" t="s">
        <v>166</v>
      </c>
      <c r="D144" s="177" t="s">
        <v>127</v>
      </c>
      <c r="E144" s="178">
        <f>6283.63*1.03</f>
        <v>6472.1388999999999</v>
      </c>
      <c r="F144" s="173">
        <v>0.05</v>
      </c>
      <c r="G144" s="172">
        <f t="shared" si="98"/>
        <v>6795.7458449999995</v>
      </c>
      <c r="H144" s="6" t="s">
        <v>120</v>
      </c>
      <c r="I144" s="3">
        <v>2.414125E-2</v>
      </c>
      <c r="J144" s="3">
        <f t="shared" si="99"/>
        <v>164.05779938060624</v>
      </c>
      <c r="K144" s="170">
        <v>48.89</v>
      </c>
      <c r="L144" s="131">
        <f t="shared" si="100"/>
        <v>8020.7858117178394</v>
      </c>
      <c r="M144" s="150">
        <v>1.2104000000000001</v>
      </c>
      <c r="N144" s="132">
        <f t="shared" si="101"/>
        <v>8225.570770788001</v>
      </c>
      <c r="O144" s="174">
        <f t="shared" si="102"/>
        <v>16246.356582505839</v>
      </c>
      <c r="P144" s="128"/>
      <c r="V144" s="3"/>
      <c r="W144" s="150"/>
    </row>
    <row r="145" spans="1:23" ht="15.75" x14ac:dyDescent="0.2">
      <c r="A145" s="124" t="str">
        <f t="shared" si="58"/>
        <v/>
      </c>
      <c r="B145" s="175"/>
      <c r="C145" s="175"/>
      <c r="D145" s="177"/>
      <c r="E145" s="178"/>
      <c r="F145" s="173"/>
      <c r="G145" s="172"/>
      <c r="H145" s="6"/>
      <c r="I145" s="3"/>
      <c r="J145" s="3"/>
      <c r="K145" s="147"/>
      <c r="L145" s="131"/>
      <c r="M145" s="131"/>
      <c r="N145" s="132"/>
      <c r="O145" s="174"/>
      <c r="P145" s="128"/>
      <c r="V145" s="3"/>
      <c r="W145" s="150"/>
    </row>
    <row r="146" spans="1:23" ht="18" customHeight="1" x14ac:dyDescent="0.2">
      <c r="A146" s="124" t="str">
        <f t="shared" ref="A146:A209" si="103">IF(H146&lt;&gt;"",1+MAX(A136:A145),"")</f>
        <v/>
      </c>
      <c r="B146" s="175"/>
      <c r="C146" s="175"/>
      <c r="D146" s="180" t="s">
        <v>143</v>
      </c>
      <c r="E146" s="178"/>
      <c r="F146" s="173"/>
      <c r="G146" s="172"/>
      <c r="H146" s="6"/>
      <c r="I146" s="3"/>
      <c r="J146" s="3"/>
      <c r="K146" s="147"/>
      <c r="L146" s="131"/>
      <c r="M146" s="131"/>
      <c r="N146" s="132"/>
      <c r="O146" s="174"/>
      <c r="P146" s="128"/>
      <c r="V146" s="3"/>
      <c r="W146" s="150"/>
    </row>
    <row r="147" spans="1:23" ht="15.75" x14ac:dyDescent="0.2">
      <c r="A147" s="124" t="str">
        <f t="shared" si="103"/>
        <v/>
      </c>
      <c r="B147" s="175"/>
      <c r="C147" s="175"/>
      <c r="D147" s="177"/>
      <c r="E147" s="178"/>
      <c r="F147" s="173"/>
      <c r="G147" s="172"/>
      <c r="H147" s="6"/>
      <c r="I147" s="3"/>
      <c r="J147" s="3"/>
      <c r="K147" s="147"/>
      <c r="L147" s="131"/>
      <c r="M147" s="131"/>
      <c r="N147" s="132"/>
      <c r="O147" s="174"/>
      <c r="P147" s="128"/>
      <c r="V147" s="3"/>
      <c r="W147" s="150"/>
    </row>
    <row r="148" spans="1:23" ht="18.75" x14ac:dyDescent="0.2">
      <c r="A148" s="124" t="str">
        <f t="shared" si="103"/>
        <v/>
      </c>
      <c r="B148" s="175"/>
      <c r="C148" s="175"/>
      <c r="D148" s="179" t="s">
        <v>173</v>
      </c>
      <c r="E148" s="178"/>
      <c r="F148" s="173"/>
      <c r="G148" s="172"/>
      <c r="H148" s="6"/>
      <c r="I148" s="3"/>
      <c r="J148" s="3"/>
      <c r="K148" s="147"/>
      <c r="L148" s="131"/>
      <c r="M148" s="131"/>
      <c r="N148" s="132"/>
      <c r="O148" s="174"/>
      <c r="P148" s="128"/>
      <c r="V148" s="3"/>
      <c r="W148" s="150"/>
    </row>
    <row r="149" spans="1:23" ht="31.5" x14ac:dyDescent="0.2">
      <c r="A149" s="124">
        <f t="shared" si="103"/>
        <v>67</v>
      </c>
      <c r="B149" s="175" t="s">
        <v>164</v>
      </c>
      <c r="C149" s="175" t="s">
        <v>167</v>
      </c>
      <c r="D149" s="177" t="s">
        <v>165</v>
      </c>
      <c r="E149" s="178">
        <f>2368.27</f>
        <v>2368.27</v>
      </c>
      <c r="F149" s="173">
        <v>0.05</v>
      </c>
      <c r="G149" s="172">
        <f t="shared" ref="G149:G152" si="104">E149+(E149*F149)</f>
        <v>2486.6835000000001</v>
      </c>
      <c r="H149" s="6" t="s">
        <v>120</v>
      </c>
      <c r="I149" s="3">
        <v>4.2831249999999994E-2</v>
      </c>
      <c r="J149" s="3">
        <f t="shared" ref="J149:J152" si="105">I149*G149</f>
        <v>106.50776265937499</v>
      </c>
      <c r="K149" s="170">
        <v>48.89</v>
      </c>
      <c r="L149" s="150">
        <f t="shared" ref="L149:L152" si="106">K149*J149</f>
        <v>5207.1645164168431</v>
      </c>
      <c r="M149" s="150">
        <v>3.1817500000000001</v>
      </c>
      <c r="N149" s="171">
        <f t="shared" ref="N149:N152" si="107">M149*G149</f>
        <v>7912.0052261250003</v>
      </c>
      <c r="O149" s="174">
        <f t="shared" ref="O149:O152" si="108">L149+N149</f>
        <v>13119.169742541842</v>
      </c>
      <c r="P149" s="128"/>
      <c r="V149" s="3"/>
      <c r="W149" s="150"/>
    </row>
    <row r="150" spans="1:23" ht="18" customHeight="1" x14ac:dyDescent="0.2">
      <c r="A150" s="124">
        <f t="shared" si="103"/>
        <v>68</v>
      </c>
      <c r="B150" s="175" t="s">
        <v>164</v>
      </c>
      <c r="C150" s="175" t="s">
        <v>167</v>
      </c>
      <c r="D150" s="177" t="s">
        <v>191</v>
      </c>
      <c r="E150" s="178">
        <f>2368.27</f>
        <v>2368.27</v>
      </c>
      <c r="F150" s="173">
        <v>0.05</v>
      </c>
      <c r="G150" s="172">
        <f t="shared" si="104"/>
        <v>2486.6835000000001</v>
      </c>
      <c r="H150" s="6" t="s">
        <v>120</v>
      </c>
      <c r="I150" s="3">
        <v>2.0247499999999998E-2</v>
      </c>
      <c r="J150" s="3">
        <f t="shared" si="105"/>
        <v>50.34912416625</v>
      </c>
      <c r="K150" s="170">
        <v>48.89</v>
      </c>
      <c r="L150" s="150">
        <f t="shared" si="106"/>
        <v>2461.5686804879624</v>
      </c>
      <c r="M150" s="150">
        <v>1.4062000000000001</v>
      </c>
      <c r="N150" s="171">
        <f t="shared" si="107"/>
        <v>3496.7743377000006</v>
      </c>
      <c r="O150" s="174">
        <f t="shared" si="108"/>
        <v>5958.343018187963</v>
      </c>
      <c r="P150" s="128"/>
      <c r="V150" s="3"/>
      <c r="W150" s="150"/>
    </row>
    <row r="151" spans="1:23" ht="47.25" x14ac:dyDescent="0.2">
      <c r="A151" s="124">
        <f t="shared" si="103"/>
        <v>69</v>
      </c>
      <c r="B151" s="175" t="s">
        <v>164</v>
      </c>
      <c r="C151" s="175" t="s">
        <v>167</v>
      </c>
      <c r="D151" s="177" t="s">
        <v>273</v>
      </c>
      <c r="E151" s="178">
        <f>E150*3</f>
        <v>7104.8099999999995</v>
      </c>
      <c r="F151" s="173">
        <v>0.05</v>
      </c>
      <c r="G151" s="172">
        <f t="shared" si="104"/>
        <v>7460.0504999999994</v>
      </c>
      <c r="H151" s="6" t="s">
        <v>120</v>
      </c>
      <c r="I151" s="3">
        <v>2.414125E-2</v>
      </c>
      <c r="J151" s="3">
        <f t="shared" si="105"/>
        <v>180.09494413312498</v>
      </c>
      <c r="K151" s="170">
        <v>45.89</v>
      </c>
      <c r="L151" s="150">
        <f t="shared" si="106"/>
        <v>8264.5569862691063</v>
      </c>
      <c r="M151" s="150">
        <v>2.0024999999999999</v>
      </c>
      <c r="N151" s="171">
        <f t="shared" si="107"/>
        <v>14938.751126249997</v>
      </c>
      <c r="O151" s="174">
        <f t="shared" si="108"/>
        <v>23203.308112519102</v>
      </c>
      <c r="P151" s="128"/>
      <c r="V151" s="3"/>
      <c r="W151" s="150"/>
    </row>
    <row r="152" spans="1:23" ht="47.25" x14ac:dyDescent="0.2">
      <c r="A152" s="124">
        <f t="shared" si="103"/>
        <v>70</v>
      </c>
      <c r="B152" s="175" t="s">
        <v>164</v>
      </c>
      <c r="C152" s="175" t="s">
        <v>166</v>
      </c>
      <c r="D152" s="177" t="s">
        <v>127</v>
      </c>
      <c r="E152" s="178">
        <f>2368.27</f>
        <v>2368.27</v>
      </c>
      <c r="F152" s="173">
        <v>0.05</v>
      </c>
      <c r="G152" s="172">
        <f t="shared" si="104"/>
        <v>2486.6835000000001</v>
      </c>
      <c r="H152" s="6" t="s">
        <v>120</v>
      </c>
      <c r="I152" s="3">
        <v>2.414125E-2</v>
      </c>
      <c r="J152" s="3">
        <f t="shared" si="105"/>
        <v>60.031648044375004</v>
      </c>
      <c r="K152" s="170">
        <v>48.89</v>
      </c>
      <c r="L152" s="131">
        <f t="shared" si="106"/>
        <v>2934.9472728894939</v>
      </c>
      <c r="M152" s="150">
        <v>1.2104000000000001</v>
      </c>
      <c r="N152" s="132">
        <f t="shared" si="107"/>
        <v>3009.8817084000007</v>
      </c>
      <c r="O152" s="174">
        <f t="shared" si="108"/>
        <v>5944.8289812894945</v>
      </c>
      <c r="P152" s="128"/>
      <c r="V152" s="3"/>
      <c r="W152" s="150"/>
    </row>
    <row r="153" spans="1:23" ht="15.75" x14ac:dyDescent="0.2">
      <c r="A153" s="124" t="str">
        <f t="shared" si="103"/>
        <v/>
      </c>
      <c r="B153" s="175"/>
      <c r="C153" s="175"/>
      <c r="D153" s="177"/>
      <c r="E153" s="178"/>
      <c r="F153" s="173"/>
      <c r="G153" s="172"/>
      <c r="H153" s="6"/>
      <c r="I153" s="3"/>
      <c r="J153" s="3"/>
      <c r="K153" s="147"/>
      <c r="L153" s="131"/>
      <c r="M153" s="131"/>
      <c r="N153" s="132"/>
      <c r="O153" s="174"/>
      <c r="P153" s="128"/>
      <c r="V153" s="3"/>
      <c r="W153" s="150"/>
    </row>
    <row r="154" spans="1:23" ht="18" customHeight="1" x14ac:dyDescent="0.2">
      <c r="A154" s="124" t="str">
        <f t="shared" si="103"/>
        <v/>
      </c>
      <c r="B154" s="175"/>
      <c r="C154" s="175"/>
      <c r="D154" s="180" t="s">
        <v>143</v>
      </c>
      <c r="E154" s="178"/>
      <c r="F154" s="173"/>
      <c r="G154" s="172"/>
      <c r="H154" s="6"/>
      <c r="I154" s="3"/>
      <c r="J154" s="3"/>
      <c r="K154" s="147"/>
      <c r="L154" s="131"/>
      <c r="M154" s="131"/>
      <c r="N154" s="132"/>
      <c r="O154" s="174"/>
      <c r="P154" s="128"/>
      <c r="V154" s="3"/>
      <c r="W154" s="150"/>
    </row>
    <row r="155" spans="1:23" ht="15.75" x14ac:dyDescent="0.2">
      <c r="A155" s="124" t="str">
        <f t="shared" si="103"/>
        <v/>
      </c>
      <c r="B155" s="175"/>
      <c r="C155" s="175"/>
      <c r="D155" s="177"/>
      <c r="E155" s="178"/>
      <c r="F155" s="173"/>
      <c r="G155" s="172"/>
      <c r="H155" s="6"/>
      <c r="I155" s="3"/>
      <c r="J155" s="3"/>
      <c r="K155" s="147"/>
      <c r="L155" s="131"/>
      <c r="M155" s="131"/>
      <c r="N155" s="132"/>
      <c r="O155" s="174"/>
      <c r="P155" s="128"/>
      <c r="V155" s="3"/>
      <c r="W155" s="150"/>
    </row>
    <row r="156" spans="1:23" ht="18.75" x14ac:dyDescent="0.2">
      <c r="A156" s="124" t="str">
        <f t="shared" si="103"/>
        <v/>
      </c>
      <c r="B156" s="175"/>
      <c r="C156" s="175"/>
      <c r="D156" s="179" t="s">
        <v>174</v>
      </c>
      <c r="E156" s="178"/>
      <c r="F156" s="173"/>
      <c r="G156" s="172"/>
      <c r="H156" s="6"/>
      <c r="I156" s="3"/>
      <c r="J156" s="3"/>
      <c r="K156" s="147"/>
      <c r="L156" s="131"/>
      <c r="M156" s="131"/>
      <c r="N156" s="132"/>
      <c r="O156" s="174"/>
      <c r="P156" s="128"/>
      <c r="V156" s="3"/>
      <c r="W156" s="150"/>
    </row>
    <row r="157" spans="1:23" ht="31.5" x14ac:dyDescent="0.2">
      <c r="A157" s="124">
        <f t="shared" si="103"/>
        <v>71</v>
      </c>
      <c r="B157" s="175" t="s">
        <v>164</v>
      </c>
      <c r="C157" s="175" t="s">
        <v>167</v>
      </c>
      <c r="D157" s="177" t="s">
        <v>188</v>
      </c>
      <c r="E157" s="178">
        <f>7937.94*1.03</f>
        <v>8176.0781999999999</v>
      </c>
      <c r="F157" s="173">
        <v>0.05</v>
      </c>
      <c r="G157" s="172">
        <f t="shared" ref="G157:G160" si="109">E157+(E157*F157)</f>
        <v>8584.8821100000005</v>
      </c>
      <c r="H157" s="6" t="s">
        <v>120</v>
      </c>
      <c r="I157" s="3">
        <v>4.2831249999999994E-2</v>
      </c>
      <c r="J157" s="3">
        <f t="shared" ref="J157:J160" si="110">I157*G157</f>
        <v>367.70123187393745</v>
      </c>
      <c r="K157" s="170">
        <v>48.89</v>
      </c>
      <c r="L157" s="150">
        <f t="shared" ref="L157:L160" si="111">K157*J157</f>
        <v>17976.913226316803</v>
      </c>
      <c r="M157" s="150">
        <v>3.1817500000000001</v>
      </c>
      <c r="N157" s="171">
        <f t="shared" ref="N157:N160" si="112">M157*G157</f>
        <v>27314.948653492502</v>
      </c>
      <c r="O157" s="174">
        <f t="shared" ref="O157:O160" si="113">L157+N157</f>
        <v>45291.861879809308</v>
      </c>
      <c r="P157" s="128"/>
      <c r="V157" s="3"/>
      <c r="W157" s="150"/>
    </row>
    <row r="158" spans="1:23" ht="18" customHeight="1" x14ac:dyDescent="0.2">
      <c r="A158" s="124">
        <f t="shared" si="103"/>
        <v>72</v>
      </c>
      <c r="B158" s="175" t="s">
        <v>164</v>
      </c>
      <c r="C158" s="175" t="s">
        <v>167</v>
      </c>
      <c r="D158" s="177" t="s">
        <v>191</v>
      </c>
      <c r="E158" s="178">
        <f>7937.94*1.03</f>
        <v>8176.0781999999999</v>
      </c>
      <c r="F158" s="173">
        <v>0.05</v>
      </c>
      <c r="G158" s="172">
        <f t="shared" si="109"/>
        <v>8584.8821100000005</v>
      </c>
      <c r="H158" s="6" t="s">
        <v>120</v>
      </c>
      <c r="I158" s="3">
        <v>2.0247499999999998E-2</v>
      </c>
      <c r="J158" s="3">
        <f t="shared" si="110"/>
        <v>173.822400522225</v>
      </c>
      <c r="K158" s="170">
        <v>48.89</v>
      </c>
      <c r="L158" s="150">
        <f t="shared" si="111"/>
        <v>8498.1771615315793</v>
      </c>
      <c r="M158" s="150">
        <v>1.4062000000000001</v>
      </c>
      <c r="N158" s="171">
        <f t="shared" si="112"/>
        <v>12072.061223082002</v>
      </c>
      <c r="O158" s="174">
        <f t="shared" si="113"/>
        <v>20570.238384613582</v>
      </c>
      <c r="P158" s="128"/>
      <c r="V158" s="3"/>
      <c r="W158" s="150"/>
    </row>
    <row r="159" spans="1:23" ht="47.25" x14ac:dyDescent="0.2">
      <c r="A159" s="124">
        <f t="shared" si="103"/>
        <v>73</v>
      </c>
      <c r="B159" s="175" t="s">
        <v>164</v>
      </c>
      <c r="C159" s="175" t="s">
        <v>167</v>
      </c>
      <c r="D159" s="177" t="s">
        <v>273</v>
      </c>
      <c r="E159" s="178">
        <f>E158*3</f>
        <v>24528.2346</v>
      </c>
      <c r="F159" s="173">
        <v>0.05</v>
      </c>
      <c r="G159" s="172">
        <f t="shared" si="109"/>
        <v>25754.64633</v>
      </c>
      <c r="H159" s="6" t="s">
        <v>120</v>
      </c>
      <c r="I159" s="3">
        <v>2.414125E-2</v>
      </c>
      <c r="J159" s="3">
        <f t="shared" si="110"/>
        <v>621.74935571411243</v>
      </c>
      <c r="K159" s="170">
        <v>45.89</v>
      </c>
      <c r="L159" s="150">
        <f t="shared" si="111"/>
        <v>28532.077933720619</v>
      </c>
      <c r="M159" s="150">
        <v>2.0024999999999999</v>
      </c>
      <c r="N159" s="171">
        <f t="shared" si="112"/>
        <v>51573.679275825001</v>
      </c>
      <c r="O159" s="174">
        <f t="shared" si="113"/>
        <v>80105.757209545613</v>
      </c>
      <c r="P159" s="128"/>
      <c r="V159" s="3"/>
      <c r="W159" s="150"/>
    </row>
    <row r="160" spans="1:23" ht="47.25" x14ac:dyDescent="0.2">
      <c r="A160" s="124">
        <f t="shared" si="103"/>
        <v>74</v>
      </c>
      <c r="B160" s="175" t="s">
        <v>164</v>
      </c>
      <c r="C160" s="175" t="s">
        <v>166</v>
      </c>
      <c r="D160" s="177" t="s">
        <v>127</v>
      </c>
      <c r="E160" s="178">
        <f>7937.94*1.03</f>
        <v>8176.0781999999999</v>
      </c>
      <c r="F160" s="173">
        <v>0.05</v>
      </c>
      <c r="G160" s="172">
        <f t="shared" si="109"/>
        <v>8584.8821100000005</v>
      </c>
      <c r="H160" s="6" t="s">
        <v>120</v>
      </c>
      <c r="I160" s="3">
        <v>2.414125E-2</v>
      </c>
      <c r="J160" s="3">
        <f t="shared" si="110"/>
        <v>207.2497852380375</v>
      </c>
      <c r="K160" s="170">
        <v>48.89</v>
      </c>
      <c r="L160" s="131">
        <f t="shared" si="111"/>
        <v>10132.442000287654</v>
      </c>
      <c r="M160" s="150">
        <v>1.2104000000000001</v>
      </c>
      <c r="N160" s="132">
        <f t="shared" si="112"/>
        <v>10391.141305944002</v>
      </c>
      <c r="O160" s="174">
        <f t="shared" si="113"/>
        <v>20523.583306231656</v>
      </c>
      <c r="P160" s="128"/>
      <c r="V160" s="3"/>
      <c r="W160" s="150"/>
    </row>
    <row r="161" spans="1:23" ht="15.75" x14ac:dyDescent="0.2">
      <c r="A161" s="124" t="str">
        <f t="shared" si="103"/>
        <v/>
      </c>
      <c r="B161" s="175"/>
      <c r="C161" s="175"/>
      <c r="D161" s="177"/>
      <c r="E161" s="178"/>
      <c r="F161" s="173"/>
      <c r="G161" s="172"/>
      <c r="H161" s="6"/>
      <c r="I161" s="3"/>
      <c r="J161" s="3"/>
      <c r="K161" s="147"/>
      <c r="L161" s="131"/>
      <c r="M161" s="131"/>
      <c r="N161" s="132"/>
      <c r="O161" s="174"/>
      <c r="P161" s="128"/>
      <c r="V161" s="3"/>
      <c r="W161" s="150"/>
    </row>
    <row r="162" spans="1:23" ht="18" customHeight="1" x14ac:dyDescent="0.2">
      <c r="A162" s="124" t="str">
        <f t="shared" si="103"/>
        <v/>
      </c>
      <c r="B162" s="175"/>
      <c r="C162" s="175"/>
      <c r="D162" s="180" t="s">
        <v>143</v>
      </c>
      <c r="E162" s="178"/>
      <c r="F162" s="173"/>
      <c r="G162" s="172"/>
      <c r="H162" s="6"/>
      <c r="I162" s="3"/>
      <c r="J162" s="3"/>
      <c r="K162" s="147"/>
      <c r="L162" s="131"/>
      <c r="M162" s="131"/>
      <c r="N162" s="132"/>
      <c r="O162" s="174"/>
      <c r="P162" s="128"/>
      <c r="V162" s="3"/>
      <c r="W162" s="150"/>
    </row>
    <row r="163" spans="1:23" ht="15.75" x14ac:dyDescent="0.2">
      <c r="A163" s="124" t="str">
        <f t="shared" si="103"/>
        <v/>
      </c>
      <c r="B163" s="175"/>
      <c r="C163" s="175"/>
      <c r="D163" s="177"/>
      <c r="E163" s="178"/>
      <c r="F163" s="173"/>
      <c r="G163" s="172"/>
      <c r="H163" s="6"/>
      <c r="I163" s="3"/>
      <c r="J163" s="3"/>
      <c r="K163" s="147"/>
      <c r="L163" s="131"/>
      <c r="M163" s="131"/>
      <c r="N163" s="132"/>
      <c r="O163" s="174"/>
      <c r="P163" s="128"/>
      <c r="V163" s="3"/>
      <c r="W163" s="150"/>
    </row>
    <row r="164" spans="1:23" ht="18.75" x14ac:dyDescent="0.2">
      <c r="A164" s="124" t="str">
        <f t="shared" si="103"/>
        <v/>
      </c>
      <c r="B164" s="175"/>
      <c r="C164" s="175"/>
      <c r="D164" s="179" t="s">
        <v>175</v>
      </c>
      <c r="E164" s="178"/>
      <c r="F164" s="173"/>
      <c r="G164" s="172"/>
      <c r="H164" s="6"/>
      <c r="I164" s="3"/>
      <c r="J164" s="3"/>
      <c r="K164" s="147"/>
      <c r="L164" s="131"/>
      <c r="M164" s="131"/>
      <c r="N164" s="132"/>
      <c r="O164" s="174"/>
      <c r="P164" s="128"/>
      <c r="V164" s="3"/>
      <c r="W164" s="150"/>
    </row>
    <row r="165" spans="1:23" ht="31.5" x14ac:dyDescent="0.2">
      <c r="A165" s="124">
        <f t="shared" si="103"/>
        <v>75</v>
      </c>
      <c r="B165" s="175" t="s">
        <v>164</v>
      </c>
      <c r="C165" s="175" t="s">
        <v>167</v>
      </c>
      <c r="D165" s="177" t="s">
        <v>165</v>
      </c>
      <c r="E165" s="178">
        <f>2060.8</f>
        <v>2060.8000000000002</v>
      </c>
      <c r="F165" s="173">
        <v>0.05</v>
      </c>
      <c r="G165" s="172">
        <f t="shared" ref="G165:G168" si="114">E165+(E165*F165)</f>
        <v>2163.84</v>
      </c>
      <c r="H165" s="6" t="s">
        <v>120</v>
      </c>
      <c r="I165" s="3">
        <v>4.2831249999999994E-2</v>
      </c>
      <c r="J165" s="3">
        <f t="shared" ref="J165:J168" si="115">I165*G165</f>
        <v>92.679971999999992</v>
      </c>
      <c r="K165" s="170">
        <v>48.89</v>
      </c>
      <c r="L165" s="150">
        <f t="shared" ref="L165:L168" si="116">K165*J165</f>
        <v>4531.1238310799999</v>
      </c>
      <c r="M165" s="150">
        <v>3.1817500000000001</v>
      </c>
      <c r="N165" s="171">
        <f t="shared" ref="N165:N168" si="117">M165*G165</f>
        <v>6884.7979200000009</v>
      </c>
      <c r="O165" s="174">
        <f t="shared" ref="O165:O168" si="118">L165+N165</f>
        <v>11415.921751080001</v>
      </c>
      <c r="P165" s="128"/>
      <c r="V165" s="3"/>
      <c r="W165" s="150"/>
    </row>
    <row r="166" spans="1:23" ht="18" customHeight="1" x14ac:dyDescent="0.2">
      <c r="A166" s="124">
        <f t="shared" si="103"/>
        <v>76</v>
      </c>
      <c r="B166" s="175" t="s">
        <v>164</v>
      </c>
      <c r="C166" s="175" t="s">
        <v>167</v>
      </c>
      <c r="D166" s="177" t="s">
        <v>191</v>
      </c>
      <c r="E166" s="178">
        <f>2060.8</f>
        <v>2060.8000000000002</v>
      </c>
      <c r="F166" s="173">
        <v>0.05</v>
      </c>
      <c r="G166" s="172">
        <f t="shared" si="114"/>
        <v>2163.84</v>
      </c>
      <c r="H166" s="6" t="s">
        <v>120</v>
      </c>
      <c r="I166" s="3">
        <v>2.0247499999999998E-2</v>
      </c>
      <c r="J166" s="3">
        <f t="shared" si="115"/>
        <v>43.8123504</v>
      </c>
      <c r="K166" s="170">
        <v>48.89</v>
      </c>
      <c r="L166" s="150">
        <f t="shared" si="116"/>
        <v>2141.9858110559999</v>
      </c>
      <c r="M166" s="150">
        <v>1.4062000000000001</v>
      </c>
      <c r="N166" s="171">
        <f t="shared" si="117"/>
        <v>3042.7918080000004</v>
      </c>
      <c r="O166" s="174">
        <f t="shared" si="118"/>
        <v>5184.7776190559998</v>
      </c>
      <c r="P166" s="128"/>
      <c r="V166" s="3"/>
      <c r="W166" s="150"/>
    </row>
    <row r="167" spans="1:23" ht="47.25" x14ac:dyDescent="0.2">
      <c r="A167" s="124">
        <f t="shared" si="103"/>
        <v>77</v>
      </c>
      <c r="B167" s="175" t="s">
        <v>164</v>
      </c>
      <c r="C167" s="175" t="s">
        <v>167</v>
      </c>
      <c r="D167" s="177" t="s">
        <v>273</v>
      </c>
      <c r="E167" s="178">
        <f>E166*3</f>
        <v>6182.4000000000005</v>
      </c>
      <c r="F167" s="173">
        <v>0.05</v>
      </c>
      <c r="G167" s="172">
        <f t="shared" si="114"/>
        <v>6491.52</v>
      </c>
      <c r="H167" s="6" t="s">
        <v>120</v>
      </c>
      <c r="I167" s="3">
        <v>2.414125E-2</v>
      </c>
      <c r="J167" s="3">
        <f t="shared" si="115"/>
        <v>156.71340720000001</v>
      </c>
      <c r="K167" s="170">
        <v>45.89</v>
      </c>
      <c r="L167" s="150">
        <f t="shared" si="116"/>
        <v>7191.578256408</v>
      </c>
      <c r="M167" s="150">
        <v>2.0024999999999999</v>
      </c>
      <c r="N167" s="171">
        <f t="shared" si="117"/>
        <v>12999.2688</v>
      </c>
      <c r="O167" s="174">
        <f t="shared" si="118"/>
        <v>20190.847056407998</v>
      </c>
      <c r="P167" s="128"/>
      <c r="V167" s="3"/>
      <c r="W167" s="150"/>
    </row>
    <row r="168" spans="1:23" ht="47.25" x14ac:dyDescent="0.2">
      <c r="A168" s="124">
        <f t="shared" si="103"/>
        <v>78</v>
      </c>
      <c r="B168" s="175" t="s">
        <v>164</v>
      </c>
      <c r="C168" s="175" t="s">
        <v>166</v>
      </c>
      <c r="D168" s="177" t="s">
        <v>127</v>
      </c>
      <c r="E168" s="178">
        <f>2060.8</f>
        <v>2060.8000000000002</v>
      </c>
      <c r="F168" s="173">
        <v>0.05</v>
      </c>
      <c r="G168" s="172">
        <f t="shared" si="114"/>
        <v>2163.84</v>
      </c>
      <c r="H168" s="6" t="s">
        <v>120</v>
      </c>
      <c r="I168" s="3">
        <v>2.414125E-2</v>
      </c>
      <c r="J168" s="3">
        <f t="shared" si="115"/>
        <v>52.2378024</v>
      </c>
      <c r="K168" s="170">
        <v>48.89</v>
      </c>
      <c r="L168" s="131">
        <f t="shared" si="116"/>
        <v>2553.9061593360002</v>
      </c>
      <c r="M168" s="150">
        <v>1.2104000000000001</v>
      </c>
      <c r="N168" s="132">
        <f t="shared" si="117"/>
        <v>2619.1119360000007</v>
      </c>
      <c r="O168" s="174">
        <f t="shared" si="118"/>
        <v>5173.0180953360014</v>
      </c>
      <c r="P168" s="128"/>
      <c r="V168" s="3"/>
      <c r="W168" s="150"/>
    </row>
    <row r="169" spans="1:23" ht="15.75" x14ac:dyDescent="0.2">
      <c r="A169" s="124" t="str">
        <f t="shared" si="103"/>
        <v/>
      </c>
      <c r="B169" s="175"/>
      <c r="C169" s="175"/>
      <c r="D169" s="177"/>
      <c r="E169" s="178"/>
      <c r="F169" s="173"/>
      <c r="G169" s="172"/>
      <c r="H169" s="6"/>
      <c r="I169" s="3"/>
      <c r="J169" s="3"/>
      <c r="K169" s="147"/>
      <c r="L169" s="131"/>
      <c r="M169" s="131"/>
      <c r="N169" s="132"/>
      <c r="O169" s="174"/>
      <c r="P169" s="128"/>
      <c r="V169" s="3"/>
      <c r="W169" s="150"/>
    </row>
    <row r="170" spans="1:23" ht="18" customHeight="1" x14ac:dyDescent="0.2">
      <c r="A170" s="124" t="str">
        <f t="shared" si="103"/>
        <v/>
      </c>
      <c r="B170" s="175"/>
      <c r="C170" s="175"/>
      <c r="D170" s="180" t="s">
        <v>143</v>
      </c>
      <c r="E170" s="178"/>
      <c r="F170" s="173"/>
      <c r="G170" s="172"/>
      <c r="H170" s="6"/>
      <c r="I170" s="3"/>
      <c r="J170" s="3"/>
      <c r="K170" s="147"/>
      <c r="L170" s="131"/>
      <c r="M170" s="131"/>
      <c r="N170" s="132"/>
      <c r="O170" s="174"/>
      <c r="P170" s="128"/>
      <c r="V170" s="3"/>
      <c r="W170" s="150"/>
    </row>
    <row r="171" spans="1:23" ht="15.75" x14ac:dyDescent="0.2">
      <c r="A171" s="124" t="str">
        <f t="shared" si="103"/>
        <v/>
      </c>
      <c r="B171" s="175"/>
      <c r="C171" s="175"/>
      <c r="D171" s="177"/>
      <c r="E171" s="178"/>
      <c r="F171" s="173"/>
      <c r="G171" s="172"/>
      <c r="H171" s="6"/>
      <c r="I171" s="3"/>
      <c r="J171" s="3"/>
      <c r="K171" s="147"/>
      <c r="L171" s="131"/>
      <c r="M171" s="131"/>
      <c r="N171" s="132"/>
      <c r="O171" s="174"/>
      <c r="P171" s="128"/>
      <c r="V171" s="3"/>
      <c r="W171" s="150"/>
    </row>
    <row r="172" spans="1:23" ht="18.75" x14ac:dyDescent="0.2">
      <c r="A172" s="124" t="str">
        <f t="shared" si="103"/>
        <v/>
      </c>
      <c r="B172" s="175"/>
      <c r="C172" s="175"/>
      <c r="D172" s="179" t="s">
        <v>176</v>
      </c>
      <c r="E172" s="178"/>
      <c r="F172" s="173"/>
      <c r="G172" s="172"/>
      <c r="H172" s="6"/>
      <c r="I172" s="3"/>
      <c r="J172" s="3"/>
      <c r="K172" s="147"/>
      <c r="L172" s="131"/>
      <c r="M172" s="131"/>
      <c r="N172" s="132"/>
      <c r="O172" s="174"/>
      <c r="P172" s="128"/>
      <c r="V172" s="3"/>
      <c r="W172" s="150"/>
    </row>
    <row r="173" spans="1:23" ht="31.5" x14ac:dyDescent="0.2">
      <c r="A173" s="124">
        <f t="shared" si="103"/>
        <v>79</v>
      </c>
      <c r="B173" s="175" t="s">
        <v>164</v>
      </c>
      <c r="C173" s="175" t="s">
        <v>167</v>
      </c>
      <c r="D173" s="177" t="s">
        <v>188</v>
      </c>
      <c r="E173" s="178">
        <f>2790.26*1.03</f>
        <v>2873.9678000000004</v>
      </c>
      <c r="F173" s="173">
        <v>0.05</v>
      </c>
      <c r="G173" s="172">
        <f t="shared" ref="G173:G176" si="119">E173+(E173*F173)</f>
        <v>3017.6661900000004</v>
      </c>
      <c r="H173" s="6" t="s">
        <v>120</v>
      </c>
      <c r="I173" s="3">
        <v>4.2831249999999994E-2</v>
      </c>
      <c r="J173" s="3">
        <f t="shared" ref="J173:J176" si="120">I173*G173</f>
        <v>129.2504150004375</v>
      </c>
      <c r="K173" s="170">
        <v>48.89</v>
      </c>
      <c r="L173" s="150">
        <f t="shared" ref="L173:L176" si="121">K173*J173</f>
        <v>6319.0527893713897</v>
      </c>
      <c r="M173" s="150">
        <v>3.1817500000000001</v>
      </c>
      <c r="N173" s="171">
        <f t="shared" ref="N173:N176" si="122">M173*G173</f>
        <v>9601.4594000325014</v>
      </c>
      <c r="O173" s="174">
        <f t="shared" ref="O173:O176" si="123">L173+N173</f>
        <v>15920.512189403891</v>
      </c>
      <c r="P173" s="128"/>
      <c r="V173" s="3"/>
      <c r="W173" s="150"/>
    </row>
    <row r="174" spans="1:23" ht="18" customHeight="1" x14ac:dyDescent="0.2">
      <c r="A174" s="124">
        <f t="shared" si="103"/>
        <v>80</v>
      </c>
      <c r="B174" s="175" t="s">
        <v>164</v>
      </c>
      <c r="C174" s="175" t="s">
        <v>167</v>
      </c>
      <c r="D174" s="177" t="s">
        <v>191</v>
      </c>
      <c r="E174" s="178">
        <f>2790.26*1.03</f>
        <v>2873.9678000000004</v>
      </c>
      <c r="F174" s="173">
        <v>0.05</v>
      </c>
      <c r="G174" s="172">
        <f t="shared" si="119"/>
        <v>3017.6661900000004</v>
      </c>
      <c r="H174" s="6" t="s">
        <v>120</v>
      </c>
      <c r="I174" s="3">
        <v>2.0247499999999998E-2</v>
      </c>
      <c r="J174" s="3">
        <f t="shared" si="120"/>
        <v>61.100196182025002</v>
      </c>
      <c r="K174" s="170">
        <v>48.89</v>
      </c>
      <c r="L174" s="150">
        <f t="shared" si="121"/>
        <v>2987.1885913392025</v>
      </c>
      <c r="M174" s="150">
        <v>1.4062000000000001</v>
      </c>
      <c r="N174" s="171">
        <f t="shared" si="122"/>
        <v>4243.4421963780005</v>
      </c>
      <c r="O174" s="174">
        <f t="shared" si="123"/>
        <v>7230.630787717203</v>
      </c>
      <c r="P174" s="128"/>
      <c r="V174" s="3"/>
      <c r="W174" s="150"/>
    </row>
    <row r="175" spans="1:23" ht="47.25" x14ac:dyDescent="0.2">
      <c r="A175" s="124">
        <f t="shared" si="103"/>
        <v>81</v>
      </c>
      <c r="B175" s="175" t="s">
        <v>164</v>
      </c>
      <c r="C175" s="175" t="s">
        <v>167</v>
      </c>
      <c r="D175" s="177" t="s">
        <v>273</v>
      </c>
      <c r="E175" s="178">
        <f>E174*3</f>
        <v>8621.9034000000011</v>
      </c>
      <c r="F175" s="173">
        <v>0.05</v>
      </c>
      <c r="G175" s="172">
        <f t="shared" si="119"/>
        <v>9052.9985700000016</v>
      </c>
      <c r="H175" s="6" t="s">
        <v>120</v>
      </c>
      <c r="I175" s="3">
        <v>2.414125E-2</v>
      </c>
      <c r="J175" s="3">
        <f t="shared" si="120"/>
        <v>218.55070172801254</v>
      </c>
      <c r="K175" s="170">
        <v>45.89</v>
      </c>
      <c r="L175" s="150">
        <f t="shared" si="121"/>
        <v>10029.291702298495</v>
      </c>
      <c r="M175" s="150">
        <v>2.0024999999999999</v>
      </c>
      <c r="N175" s="171">
        <f t="shared" si="122"/>
        <v>18128.629636425001</v>
      </c>
      <c r="O175" s="174">
        <f t="shared" si="123"/>
        <v>28157.921338723496</v>
      </c>
      <c r="P175" s="128"/>
      <c r="V175" s="3"/>
      <c r="W175" s="150"/>
    </row>
    <row r="176" spans="1:23" ht="47.25" x14ac:dyDescent="0.2">
      <c r="A176" s="124">
        <f t="shared" si="103"/>
        <v>82</v>
      </c>
      <c r="B176" s="175" t="s">
        <v>164</v>
      </c>
      <c r="C176" s="175" t="s">
        <v>166</v>
      </c>
      <c r="D176" s="177" t="s">
        <v>127</v>
      </c>
      <c r="E176" s="178">
        <f>2790.26*1.03</f>
        <v>2873.9678000000004</v>
      </c>
      <c r="F176" s="173">
        <v>0.05</v>
      </c>
      <c r="G176" s="172">
        <f t="shared" si="119"/>
        <v>3017.6661900000004</v>
      </c>
      <c r="H176" s="6" t="s">
        <v>120</v>
      </c>
      <c r="I176" s="3">
        <v>2.414125E-2</v>
      </c>
      <c r="J176" s="3">
        <f t="shared" si="120"/>
        <v>72.850233909337504</v>
      </c>
      <c r="K176" s="170">
        <v>48.89</v>
      </c>
      <c r="L176" s="131">
        <f t="shared" si="121"/>
        <v>3561.6479358275105</v>
      </c>
      <c r="M176" s="150">
        <v>1.2104000000000001</v>
      </c>
      <c r="N176" s="132">
        <f t="shared" si="122"/>
        <v>3652.5831563760007</v>
      </c>
      <c r="O176" s="174">
        <f t="shared" si="123"/>
        <v>7214.2310922035113</v>
      </c>
      <c r="P176" s="128"/>
      <c r="V176" s="3"/>
      <c r="W176" s="150"/>
    </row>
    <row r="177" spans="1:23" ht="15.75" x14ac:dyDescent="0.2">
      <c r="A177" s="124" t="str">
        <f t="shared" si="103"/>
        <v/>
      </c>
      <c r="B177" s="175"/>
      <c r="C177" s="175"/>
      <c r="D177" s="177"/>
      <c r="E177" s="178"/>
      <c r="F177" s="173"/>
      <c r="G177" s="172"/>
      <c r="H177" s="6"/>
      <c r="I177" s="3"/>
      <c r="J177" s="3"/>
      <c r="K177" s="147"/>
      <c r="L177" s="131"/>
      <c r="M177" s="131"/>
      <c r="N177" s="132"/>
      <c r="O177" s="174"/>
      <c r="P177" s="128"/>
      <c r="V177" s="3"/>
      <c r="W177" s="150"/>
    </row>
    <row r="178" spans="1:23" ht="18" customHeight="1" x14ac:dyDescent="0.2">
      <c r="A178" s="124" t="str">
        <f t="shared" si="103"/>
        <v/>
      </c>
      <c r="B178" s="175"/>
      <c r="C178" s="175"/>
      <c r="D178" s="180" t="s">
        <v>143</v>
      </c>
      <c r="E178" s="178"/>
      <c r="F178" s="173"/>
      <c r="G178" s="172"/>
      <c r="H178" s="6"/>
      <c r="I178" s="3"/>
      <c r="J178" s="3"/>
      <c r="K178" s="147"/>
      <c r="L178" s="131"/>
      <c r="M178" s="131"/>
      <c r="N178" s="132"/>
      <c r="O178" s="174"/>
      <c r="P178" s="128"/>
      <c r="V178" s="3"/>
      <c r="W178" s="150"/>
    </row>
    <row r="179" spans="1:23" ht="15.75" x14ac:dyDescent="0.2">
      <c r="A179" s="124" t="str">
        <f t="shared" si="103"/>
        <v/>
      </c>
      <c r="B179" s="175"/>
      <c r="C179" s="175"/>
      <c r="D179" s="177"/>
      <c r="E179" s="178"/>
      <c r="F179" s="173"/>
      <c r="G179" s="172"/>
      <c r="H179" s="6"/>
      <c r="I179" s="3"/>
      <c r="J179" s="3"/>
      <c r="K179" s="147"/>
      <c r="L179" s="131"/>
      <c r="M179" s="131"/>
      <c r="N179" s="132"/>
      <c r="O179" s="174"/>
      <c r="P179" s="128"/>
      <c r="V179" s="3"/>
      <c r="W179" s="150"/>
    </row>
    <row r="180" spans="1:23" ht="18.75" x14ac:dyDescent="0.2">
      <c r="A180" s="124" t="str">
        <f t="shared" si="103"/>
        <v/>
      </c>
      <c r="B180" s="175"/>
      <c r="C180" s="175"/>
      <c r="D180" s="179" t="s">
        <v>177</v>
      </c>
      <c r="E180" s="178"/>
      <c r="F180" s="173"/>
      <c r="G180" s="172"/>
      <c r="H180" s="6"/>
      <c r="I180" s="3"/>
      <c r="J180" s="3"/>
      <c r="K180" s="147"/>
      <c r="L180" s="131"/>
      <c r="M180" s="131"/>
      <c r="N180" s="132"/>
      <c r="O180" s="174"/>
      <c r="P180" s="128"/>
      <c r="V180" s="3"/>
      <c r="W180" s="150"/>
    </row>
    <row r="181" spans="1:23" ht="31.5" x14ac:dyDescent="0.2">
      <c r="A181" s="124">
        <f t="shared" si="103"/>
        <v>83</v>
      </c>
      <c r="B181" s="175" t="s">
        <v>164</v>
      </c>
      <c r="C181" s="175" t="s">
        <v>167</v>
      </c>
      <c r="D181" s="177" t="s">
        <v>165</v>
      </c>
      <c r="E181" s="178">
        <f>1609.66</f>
        <v>1609.66</v>
      </c>
      <c r="F181" s="173">
        <v>0.05</v>
      </c>
      <c r="G181" s="172">
        <f t="shared" ref="G181:G184" si="124">E181+(E181*F181)</f>
        <v>1690.143</v>
      </c>
      <c r="H181" s="6" t="s">
        <v>120</v>
      </c>
      <c r="I181" s="3">
        <v>4.2831249999999994E-2</v>
      </c>
      <c r="J181" s="3">
        <f t="shared" ref="J181:J184" si="125">I181*G181</f>
        <v>72.390937368749988</v>
      </c>
      <c r="K181" s="170">
        <v>48.89</v>
      </c>
      <c r="L181" s="150">
        <f t="shared" ref="L181:L184" si="126">K181*J181</f>
        <v>3539.1929279581868</v>
      </c>
      <c r="M181" s="150">
        <v>3.1817500000000001</v>
      </c>
      <c r="N181" s="171">
        <f t="shared" ref="N181:N184" si="127">M181*G181</f>
        <v>5377.6124902500005</v>
      </c>
      <c r="O181" s="174">
        <f t="shared" ref="O181:O184" si="128">L181+N181</f>
        <v>8916.8054182081869</v>
      </c>
      <c r="P181" s="128"/>
      <c r="V181" s="3"/>
      <c r="W181" s="150"/>
    </row>
    <row r="182" spans="1:23" ht="18" customHeight="1" x14ac:dyDescent="0.2">
      <c r="A182" s="124">
        <f t="shared" si="103"/>
        <v>84</v>
      </c>
      <c r="B182" s="175" t="s">
        <v>164</v>
      </c>
      <c r="C182" s="175" t="s">
        <v>167</v>
      </c>
      <c r="D182" s="177" t="s">
        <v>191</v>
      </c>
      <c r="E182" s="178">
        <f>1609.66</f>
        <v>1609.66</v>
      </c>
      <c r="F182" s="173">
        <v>0.05</v>
      </c>
      <c r="G182" s="172">
        <f t="shared" si="124"/>
        <v>1690.143</v>
      </c>
      <c r="H182" s="6" t="s">
        <v>120</v>
      </c>
      <c r="I182" s="3">
        <v>2.0247499999999998E-2</v>
      </c>
      <c r="J182" s="3">
        <f t="shared" si="125"/>
        <v>34.221170392499999</v>
      </c>
      <c r="K182" s="170">
        <v>48.89</v>
      </c>
      <c r="L182" s="150">
        <f t="shared" si="126"/>
        <v>1673.073020489325</v>
      </c>
      <c r="M182" s="150">
        <v>1.4062000000000001</v>
      </c>
      <c r="N182" s="171">
        <f t="shared" si="127"/>
        <v>2376.6790866000001</v>
      </c>
      <c r="O182" s="174">
        <f t="shared" si="128"/>
        <v>4049.7521070893254</v>
      </c>
      <c r="P182" s="128"/>
      <c r="V182" s="3"/>
      <c r="W182" s="150"/>
    </row>
    <row r="183" spans="1:23" ht="47.25" x14ac:dyDescent="0.2">
      <c r="A183" s="124">
        <f t="shared" si="103"/>
        <v>85</v>
      </c>
      <c r="B183" s="175" t="s">
        <v>164</v>
      </c>
      <c r="C183" s="175" t="s">
        <v>167</v>
      </c>
      <c r="D183" s="177" t="s">
        <v>273</v>
      </c>
      <c r="E183" s="178">
        <f>E182*3</f>
        <v>4828.9800000000005</v>
      </c>
      <c r="F183" s="173">
        <v>0.05</v>
      </c>
      <c r="G183" s="172">
        <f t="shared" si="124"/>
        <v>5070.4290000000001</v>
      </c>
      <c r="H183" s="6" t="s">
        <v>120</v>
      </c>
      <c r="I183" s="3">
        <v>2.414125E-2</v>
      </c>
      <c r="J183" s="3">
        <f t="shared" si="125"/>
        <v>122.40649409625</v>
      </c>
      <c r="K183" s="170">
        <v>45.89</v>
      </c>
      <c r="L183" s="150">
        <f t="shared" si="126"/>
        <v>5617.2340140769129</v>
      </c>
      <c r="M183" s="150">
        <v>2.0024999999999999</v>
      </c>
      <c r="N183" s="171">
        <f t="shared" si="127"/>
        <v>10153.534072500001</v>
      </c>
      <c r="O183" s="174">
        <f t="shared" si="128"/>
        <v>15770.768086576914</v>
      </c>
      <c r="P183" s="128"/>
      <c r="V183" s="3"/>
      <c r="W183" s="150"/>
    </row>
    <row r="184" spans="1:23" ht="47.25" x14ac:dyDescent="0.2">
      <c r="A184" s="124">
        <f t="shared" si="103"/>
        <v>86</v>
      </c>
      <c r="B184" s="175" t="s">
        <v>164</v>
      </c>
      <c r="C184" s="175" t="s">
        <v>166</v>
      </c>
      <c r="D184" s="177" t="s">
        <v>127</v>
      </c>
      <c r="E184" s="178">
        <f>1609.66</f>
        <v>1609.66</v>
      </c>
      <c r="F184" s="173">
        <v>0.05</v>
      </c>
      <c r="G184" s="172">
        <f t="shared" si="124"/>
        <v>1690.143</v>
      </c>
      <c r="H184" s="6" t="s">
        <v>120</v>
      </c>
      <c r="I184" s="3">
        <v>2.414125E-2</v>
      </c>
      <c r="J184" s="3">
        <f t="shared" si="125"/>
        <v>40.802164698749998</v>
      </c>
      <c r="K184" s="170">
        <v>48.89</v>
      </c>
      <c r="L184" s="131">
        <f t="shared" si="126"/>
        <v>1994.8178321218875</v>
      </c>
      <c r="M184" s="150">
        <v>1.2104000000000001</v>
      </c>
      <c r="N184" s="132">
        <f t="shared" si="127"/>
        <v>2045.7490872000003</v>
      </c>
      <c r="O184" s="174">
        <f t="shared" si="128"/>
        <v>4040.5669193218878</v>
      </c>
      <c r="P184" s="128"/>
      <c r="V184" s="3"/>
      <c r="W184" s="150"/>
    </row>
    <row r="185" spans="1:23" ht="15.75" x14ac:dyDescent="0.2">
      <c r="A185" s="124" t="str">
        <f t="shared" si="103"/>
        <v/>
      </c>
      <c r="B185" s="175"/>
      <c r="C185" s="175"/>
      <c r="D185" s="177"/>
      <c r="E185" s="178"/>
      <c r="F185" s="173"/>
      <c r="G185" s="172"/>
      <c r="H185" s="6"/>
      <c r="I185" s="3"/>
      <c r="J185" s="3"/>
      <c r="K185" s="147"/>
      <c r="L185" s="131"/>
      <c r="M185" s="131"/>
      <c r="N185" s="132"/>
      <c r="O185" s="174"/>
      <c r="P185" s="128"/>
      <c r="V185" s="3"/>
      <c r="W185" s="150"/>
    </row>
    <row r="186" spans="1:23" ht="18" customHeight="1" x14ac:dyDescent="0.2">
      <c r="A186" s="124" t="str">
        <f t="shared" si="103"/>
        <v/>
      </c>
      <c r="B186" s="175"/>
      <c r="C186" s="175"/>
      <c r="D186" s="180" t="s">
        <v>143</v>
      </c>
      <c r="E186" s="178"/>
      <c r="F186" s="173"/>
      <c r="G186" s="172"/>
      <c r="H186" s="6"/>
      <c r="I186" s="3"/>
      <c r="J186" s="3"/>
      <c r="K186" s="147"/>
      <c r="L186" s="131"/>
      <c r="M186" s="131"/>
      <c r="N186" s="132"/>
      <c r="O186" s="174"/>
      <c r="P186" s="128"/>
      <c r="V186" s="3"/>
      <c r="W186" s="150"/>
    </row>
    <row r="187" spans="1:23" ht="15.75" x14ac:dyDescent="0.2">
      <c r="A187" s="124" t="str">
        <f t="shared" si="103"/>
        <v/>
      </c>
      <c r="B187" s="175"/>
      <c r="C187" s="175"/>
      <c r="D187" s="177"/>
      <c r="E187" s="178"/>
      <c r="F187" s="173"/>
      <c r="G187" s="172"/>
      <c r="H187" s="6"/>
      <c r="I187" s="3"/>
      <c r="J187" s="3"/>
      <c r="K187" s="147"/>
      <c r="L187" s="131"/>
      <c r="M187" s="131"/>
      <c r="N187" s="132"/>
      <c r="O187" s="174"/>
      <c r="P187" s="128"/>
      <c r="V187" s="3"/>
      <c r="W187" s="150"/>
    </row>
    <row r="188" spans="1:23" ht="18.75" x14ac:dyDescent="0.2">
      <c r="A188" s="124" t="str">
        <f t="shared" si="103"/>
        <v/>
      </c>
      <c r="B188" s="175"/>
      <c r="C188" s="175"/>
      <c r="D188" s="179" t="s">
        <v>178</v>
      </c>
      <c r="E188" s="178"/>
      <c r="F188" s="173"/>
      <c r="G188" s="172"/>
      <c r="H188" s="6"/>
      <c r="I188" s="3"/>
      <c r="J188" s="3"/>
      <c r="K188" s="147"/>
      <c r="L188" s="131"/>
      <c r="M188" s="131"/>
      <c r="N188" s="132"/>
      <c r="O188" s="174"/>
      <c r="P188" s="128"/>
      <c r="V188" s="3"/>
      <c r="W188" s="150"/>
    </row>
    <row r="189" spans="1:23" ht="31.5" x14ac:dyDescent="0.2">
      <c r="A189" s="124">
        <f t="shared" si="103"/>
        <v>87</v>
      </c>
      <c r="B189" s="175" t="s">
        <v>164</v>
      </c>
      <c r="C189" s="175" t="s">
        <v>167</v>
      </c>
      <c r="D189" s="177" t="s">
        <v>165</v>
      </c>
      <c r="E189" s="178">
        <f>6422.43</f>
        <v>6422.43</v>
      </c>
      <c r="F189" s="173">
        <v>0.05</v>
      </c>
      <c r="G189" s="172">
        <f t="shared" ref="G189:G192" si="129">E189+(E189*F189)</f>
        <v>6743.5515000000005</v>
      </c>
      <c r="H189" s="6" t="s">
        <v>120</v>
      </c>
      <c r="I189" s="3">
        <v>4.2831249999999994E-2</v>
      </c>
      <c r="J189" s="3">
        <f t="shared" ref="J189:J192" si="130">I189*G189</f>
        <v>288.83474018437499</v>
      </c>
      <c r="K189" s="170">
        <v>48.89</v>
      </c>
      <c r="L189" s="150">
        <f t="shared" ref="L189:L192" si="131">K189*J189</f>
        <v>14121.130447614094</v>
      </c>
      <c r="M189" s="150">
        <v>3.1817500000000001</v>
      </c>
      <c r="N189" s="171">
        <f t="shared" ref="N189:N192" si="132">M189*G189</f>
        <v>21456.294985125001</v>
      </c>
      <c r="O189" s="174">
        <f t="shared" ref="O189:O192" si="133">L189+N189</f>
        <v>35577.425432739095</v>
      </c>
      <c r="P189" s="128"/>
      <c r="V189" s="3"/>
      <c r="W189" s="150"/>
    </row>
    <row r="190" spans="1:23" ht="18" customHeight="1" x14ac:dyDescent="0.2">
      <c r="A190" s="124">
        <f t="shared" si="103"/>
        <v>88</v>
      </c>
      <c r="B190" s="175" t="s">
        <v>164</v>
      </c>
      <c r="C190" s="175" t="s">
        <v>167</v>
      </c>
      <c r="D190" s="177" t="s">
        <v>191</v>
      </c>
      <c r="E190" s="178">
        <f>6422.43</f>
        <v>6422.43</v>
      </c>
      <c r="F190" s="173">
        <v>0.05</v>
      </c>
      <c r="G190" s="172">
        <f t="shared" si="129"/>
        <v>6743.5515000000005</v>
      </c>
      <c r="H190" s="6" t="s">
        <v>120</v>
      </c>
      <c r="I190" s="3">
        <v>2.0247499999999998E-2</v>
      </c>
      <c r="J190" s="3">
        <f t="shared" si="130"/>
        <v>136.54005899625</v>
      </c>
      <c r="K190" s="170">
        <v>48.89</v>
      </c>
      <c r="L190" s="150">
        <f t="shared" si="131"/>
        <v>6675.4434843266627</v>
      </c>
      <c r="M190" s="150">
        <v>1.4062000000000001</v>
      </c>
      <c r="N190" s="171">
        <f t="shared" si="132"/>
        <v>9482.7821193000018</v>
      </c>
      <c r="O190" s="174">
        <f t="shared" si="133"/>
        <v>16158.225603626664</v>
      </c>
      <c r="P190" s="128"/>
      <c r="V190" s="3"/>
      <c r="W190" s="150"/>
    </row>
    <row r="191" spans="1:23" ht="47.25" x14ac:dyDescent="0.2">
      <c r="A191" s="124">
        <f t="shared" si="103"/>
        <v>89</v>
      </c>
      <c r="B191" s="175" t="s">
        <v>164</v>
      </c>
      <c r="C191" s="175" t="s">
        <v>167</v>
      </c>
      <c r="D191" s="177" t="s">
        <v>273</v>
      </c>
      <c r="E191" s="178">
        <f>E190*3</f>
        <v>19267.29</v>
      </c>
      <c r="F191" s="173">
        <v>0.05</v>
      </c>
      <c r="G191" s="172">
        <f t="shared" si="129"/>
        <v>20230.654500000001</v>
      </c>
      <c r="H191" s="6" t="s">
        <v>120</v>
      </c>
      <c r="I191" s="3">
        <v>2.414125E-2</v>
      </c>
      <c r="J191" s="3">
        <f t="shared" si="130"/>
        <v>488.39328794812502</v>
      </c>
      <c r="K191" s="170">
        <v>45.89</v>
      </c>
      <c r="L191" s="150">
        <f t="shared" si="131"/>
        <v>22412.367983939457</v>
      </c>
      <c r="M191" s="150">
        <v>2.0024999999999999</v>
      </c>
      <c r="N191" s="171">
        <f t="shared" si="132"/>
        <v>40511.885636250001</v>
      </c>
      <c r="O191" s="174">
        <f t="shared" si="133"/>
        <v>62924.253620189455</v>
      </c>
      <c r="P191" s="128"/>
      <c r="V191" s="3"/>
      <c r="W191" s="150"/>
    </row>
    <row r="192" spans="1:23" ht="47.25" x14ac:dyDescent="0.2">
      <c r="A192" s="124">
        <f t="shared" si="103"/>
        <v>90</v>
      </c>
      <c r="B192" s="175" t="s">
        <v>164</v>
      </c>
      <c r="C192" s="175" t="s">
        <v>166</v>
      </c>
      <c r="D192" s="177" t="s">
        <v>127</v>
      </c>
      <c r="E192" s="178">
        <f>6422.43</f>
        <v>6422.43</v>
      </c>
      <c r="F192" s="173">
        <v>0.05</v>
      </c>
      <c r="G192" s="172">
        <f t="shared" si="129"/>
        <v>6743.5515000000005</v>
      </c>
      <c r="H192" s="6" t="s">
        <v>120</v>
      </c>
      <c r="I192" s="3">
        <v>2.414125E-2</v>
      </c>
      <c r="J192" s="3">
        <f t="shared" si="130"/>
        <v>162.79776264937502</v>
      </c>
      <c r="K192" s="170">
        <v>48.89</v>
      </c>
      <c r="L192" s="131">
        <f t="shared" si="131"/>
        <v>7959.1826159279444</v>
      </c>
      <c r="M192" s="150">
        <v>1.2104000000000001</v>
      </c>
      <c r="N192" s="132">
        <f t="shared" si="132"/>
        <v>8162.3947356000017</v>
      </c>
      <c r="O192" s="174">
        <f t="shared" si="133"/>
        <v>16121.577351527947</v>
      </c>
      <c r="P192" s="128"/>
      <c r="V192" s="3"/>
      <c r="W192" s="150"/>
    </row>
    <row r="193" spans="1:23" ht="15.75" x14ac:dyDescent="0.2">
      <c r="A193" s="124" t="str">
        <f t="shared" si="103"/>
        <v/>
      </c>
      <c r="B193" s="175"/>
      <c r="C193" s="175"/>
      <c r="D193" s="177"/>
      <c r="E193" s="178"/>
      <c r="F193" s="173"/>
      <c r="G193" s="172"/>
      <c r="H193" s="6"/>
      <c r="I193" s="3"/>
      <c r="J193" s="3"/>
      <c r="K193" s="147"/>
      <c r="L193" s="131"/>
      <c r="M193" s="131"/>
      <c r="N193" s="132"/>
      <c r="O193" s="174"/>
      <c r="P193" s="128"/>
      <c r="V193" s="3"/>
      <c r="W193" s="150"/>
    </row>
    <row r="194" spans="1:23" ht="18" customHeight="1" x14ac:dyDescent="0.2">
      <c r="A194" s="124" t="str">
        <f t="shared" si="103"/>
        <v/>
      </c>
      <c r="B194" s="175"/>
      <c r="C194" s="175"/>
      <c r="D194" s="180" t="s">
        <v>143</v>
      </c>
      <c r="E194" s="178"/>
      <c r="F194" s="173"/>
      <c r="G194" s="172"/>
      <c r="H194" s="6"/>
      <c r="I194" s="3"/>
      <c r="J194" s="3"/>
      <c r="K194" s="147"/>
      <c r="L194" s="131"/>
      <c r="M194" s="131"/>
      <c r="N194" s="132"/>
      <c r="O194" s="174"/>
      <c r="P194" s="128"/>
      <c r="V194" s="3"/>
      <c r="W194" s="150"/>
    </row>
    <row r="195" spans="1:23" ht="15.75" x14ac:dyDescent="0.2">
      <c r="A195" s="124" t="str">
        <f t="shared" si="103"/>
        <v/>
      </c>
      <c r="B195" s="175"/>
      <c r="C195" s="175"/>
      <c r="D195" s="177"/>
      <c r="E195" s="178"/>
      <c r="F195" s="173"/>
      <c r="G195" s="172"/>
      <c r="H195" s="6"/>
      <c r="I195" s="3"/>
      <c r="J195" s="3"/>
      <c r="K195" s="147"/>
      <c r="L195" s="131"/>
      <c r="M195" s="131"/>
      <c r="N195" s="132"/>
      <c r="O195" s="174"/>
      <c r="P195" s="128"/>
      <c r="V195" s="3"/>
      <c r="W195" s="150"/>
    </row>
    <row r="196" spans="1:23" ht="18.75" x14ac:dyDescent="0.2">
      <c r="A196" s="124" t="str">
        <f t="shared" si="103"/>
        <v/>
      </c>
      <c r="B196" s="175"/>
      <c r="C196" s="175"/>
      <c r="D196" s="179" t="s">
        <v>179</v>
      </c>
      <c r="E196" s="178"/>
      <c r="F196" s="173"/>
      <c r="G196" s="172"/>
      <c r="H196" s="6"/>
      <c r="I196" s="3"/>
      <c r="J196" s="3"/>
      <c r="K196" s="147"/>
      <c r="L196" s="131"/>
      <c r="M196" s="131"/>
      <c r="N196" s="132"/>
      <c r="O196" s="174"/>
      <c r="P196" s="128"/>
      <c r="V196" s="3"/>
      <c r="W196" s="150"/>
    </row>
    <row r="197" spans="1:23" ht="31.5" x14ac:dyDescent="0.2">
      <c r="A197" s="124">
        <f t="shared" si="103"/>
        <v>91</v>
      </c>
      <c r="B197" s="175" t="s">
        <v>164</v>
      </c>
      <c r="C197" s="175" t="s">
        <v>167</v>
      </c>
      <c r="D197" s="177" t="s">
        <v>165</v>
      </c>
      <c r="E197" s="178">
        <f>2617.76</f>
        <v>2617.7600000000002</v>
      </c>
      <c r="F197" s="173">
        <v>0.05</v>
      </c>
      <c r="G197" s="172">
        <f t="shared" ref="G197:G200" si="134">E197+(E197*F197)</f>
        <v>2748.6480000000001</v>
      </c>
      <c r="H197" s="6" t="s">
        <v>120</v>
      </c>
      <c r="I197" s="3">
        <v>4.2831249999999994E-2</v>
      </c>
      <c r="J197" s="3">
        <f t="shared" ref="J197:J200" si="135">I197*G197</f>
        <v>117.72802965</v>
      </c>
      <c r="K197" s="170">
        <v>48.89</v>
      </c>
      <c r="L197" s="150">
        <f t="shared" ref="L197:L200" si="136">K197*J197</f>
        <v>5755.7233695884997</v>
      </c>
      <c r="M197" s="150">
        <v>3.1817500000000001</v>
      </c>
      <c r="N197" s="171">
        <f t="shared" ref="N197:N200" si="137">M197*G197</f>
        <v>8745.5107740000003</v>
      </c>
      <c r="O197" s="174">
        <f t="shared" ref="O197:O200" si="138">L197+N197</f>
        <v>14501.234143588499</v>
      </c>
      <c r="P197" s="128"/>
      <c r="V197" s="3"/>
      <c r="W197" s="150"/>
    </row>
    <row r="198" spans="1:23" ht="18" customHeight="1" x14ac:dyDescent="0.2">
      <c r="A198" s="124">
        <f t="shared" si="103"/>
        <v>92</v>
      </c>
      <c r="B198" s="175" t="s">
        <v>164</v>
      </c>
      <c r="C198" s="175" t="s">
        <v>167</v>
      </c>
      <c r="D198" s="177" t="s">
        <v>191</v>
      </c>
      <c r="E198" s="178">
        <f>2617.76</f>
        <v>2617.7600000000002</v>
      </c>
      <c r="F198" s="173">
        <v>0.05</v>
      </c>
      <c r="G198" s="172">
        <f t="shared" si="134"/>
        <v>2748.6480000000001</v>
      </c>
      <c r="H198" s="6" t="s">
        <v>120</v>
      </c>
      <c r="I198" s="3">
        <v>2.0247499999999998E-2</v>
      </c>
      <c r="J198" s="3">
        <f t="shared" si="135"/>
        <v>55.653250379999996</v>
      </c>
      <c r="K198" s="170">
        <v>48.89</v>
      </c>
      <c r="L198" s="150">
        <f t="shared" si="136"/>
        <v>2720.8874110781999</v>
      </c>
      <c r="M198" s="150">
        <v>1.4062000000000001</v>
      </c>
      <c r="N198" s="171">
        <f t="shared" si="137"/>
        <v>3865.1488176000007</v>
      </c>
      <c r="O198" s="174">
        <f t="shared" si="138"/>
        <v>6586.0362286782001</v>
      </c>
      <c r="P198" s="128"/>
      <c r="V198" s="3"/>
      <c r="W198" s="150"/>
    </row>
    <row r="199" spans="1:23" ht="47.25" x14ac:dyDescent="0.2">
      <c r="A199" s="124">
        <f t="shared" si="103"/>
        <v>93</v>
      </c>
      <c r="B199" s="175" t="s">
        <v>164</v>
      </c>
      <c r="C199" s="175" t="s">
        <v>167</v>
      </c>
      <c r="D199" s="177" t="s">
        <v>273</v>
      </c>
      <c r="E199" s="178">
        <f>E198*3</f>
        <v>7853.2800000000007</v>
      </c>
      <c r="F199" s="173">
        <v>0.05</v>
      </c>
      <c r="G199" s="172">
        <f t="shared" si="134"/>
        <v>8245.9440000000013</v>
      </c>
      <c r="H199" s="6" t="s">
        <v>120</v>
      </c>
      <c r="I199" s="3">
        <v>2.414125E-2</v>
      </c>
      <c r="J199" s="3">
        <f t="shared" si="135"/>
        <v>199.06739559000002</v>
      </c>
      <c r="K199" s="170">
        <v>45.89</v>
      </c>
      <c r="L199" s="150">
        <f t="shared" si="136"/>
        <v>9135.2027836251018</v>
      </c>
      <c r="M199" s="150">
        <v>2.0024999999999999</v>
      </c>
      <c r="N199" s="171">
        <f t="shared" si="137"/>
        <v>16512.502860000001</v>
      </c>
      <c r="O199" s="174">
        <f t="shared" si="138"/>
        <v>25647.7056436251</v>
      </c>
      <c r="P199" s="128"/>
      <c r="V199" s="3"/>
      <c r="W199" s="150"/>
    </row>
    <row r="200" spans="1:23" ht="47.25" x14ac:dyDescent="0.2">
      <c r="A200" s="124">
        <f t="shared" si="103"/>
        <v>94</v>
      </c>
      <c r="B200" s="175" t="s">
        <v>164</v>
      </c>
      <c r="C200" s="175" t="s">
        <v>166</v>
      </c>
      <c r="D200" s="177" t="s">
        <v>127</v>
      </c>
      <c r="E200" s="178">
        <f>2617.76</f>
        <v>2617.7600000000002</v>
      </c>
      <c r="F200" s="173">
        <v>0.05</v>
      </c>
      <c r="G200" s="172">
        <f t="shared" si="134"/>
        <v>2748.6480000000001</v>
      </c>
      <c r="H200" s="6" t="s">
        <v>120</v>
      </c>
      <c r="I200" s="3">
        <v>2.414125E-2</v>
      </c>
      <c r="J200" s="3">
        <f t="shared" si="135"/>
        <v>66.355798530000001</v>
      </c>
      <c r="K200" s="170">
        <v>48.89</v>
      </c>
      <c r="L200" s="131">
        <f t="shared" si="136"/>
        <v>3244.1349901317003</v>
      </c>
      <c r="M200" s="150">
        <v>1.2104000000000001</v>
      </c>
      <c r="N200" s="132">
        <f t="shared" si="137"/>
        <v>3326.9635392000005</v>
      </c>
      <c r="O200" s="174">
        <f t="shared" si="138"/>
        <v>6571.0985293317008</v>
      </c>
      <c r="P200" s="128"/>
      <c r="V200" s="3"/>
      <c r="W200" s="150"/>
    </row>
    <row r="201" spans="1:23" ht="15.75" x14ac:dyDescent="0.2">
      <c r="A201" s="124" t="str">
        <f t="shared" si="103"/>
        <v/>
      </c>
      <c r="B201" s="175"/>
      <c r="C201" s="175"/>
      <c r="D201" s="177"/>
      <c r="E201" s="178"/>
      <c r="F201" s="173"/>
      <c r="G201" s="172"/>
      <c r="H201" s="6"/>
      <c r="I201" s="3"/>
      <c r="J201" s="3"/>
      <c r="K201" s="147"/>
      <c r="L201" s="131"/>
      <c r="M201" s="131"/>
      <c r="N201" s="132"/>
      <c r="O201" s="174"/>
      <c r="P201" s="128"/>
      <c r="V201" s="3"/>
      <c r="W201" s="150"/>
    </row>
    <row r="202" spans="1:23" ht="18" customHeight="1" x14ac:dyDescent="0.2">
      <c r="A202" s="124" t="str">
        <f t="shared" si="103"/>
        <v/>
      </c>
      <c r="B202" s="175"/>
      <c r="C202" s="175"/>
      <c r="D202" s="180" t="s">
        <v>143</v>
      </c>
      <c r="E202" s="178"/>
      <c r="F202" s="173"/>
      <c r="G202" s="172"/>
      <c r="H202" s="6"/>
      <c r="I202" s="3"/>
      <c r="J202" s="3"/>
      <c r="K202" s="147"/>
      <c r="L202" s="131"/>
      <c r="M202" s="131"/>
      <c r="N202" s="132"/>
      <c r="O202" s="174"/>
      <c r="P202" s="128"/>
      <c r="V202" s="3"/>
      <c r="W202" s="150"/>
    </row>
    <row r="203" spans="1:23" ht="15.75" x14ac:dyDescent="0.2">
      <c r="A203" s="124" t="str">
        <f t="shared" si="103"/>
        <v/>
      </c>
      <c r="B203" s="175"/>
      <c r="C203" s="175"/>
      <c r="D203" s="177"/>
      <c r="E203" s="178"/>
      <c r="F203" s="173"/>
      <c r="G203" s="172"/>
      <c r="H203" s="6"/>
      <c r="I203" s="3"/>
      <c r="J203" s="3"/>
      <c r="K203" s="147"/>
      <c r="L203" s="131"/>
      <c r="M203" s="131"/>
      <c r="N203" s="132"/>
      <c r="O203" s="174"/>
      <c r="P203" s="128"/>
      <c r="V203" s="3"/>
      <c r="W203" s="150"/>
    </row>
    <row r="204" spans="1:23" ht="18.75" x14ac:dyDescent="0.2">
      <c r="A204" s="124" t="str">
        <f t="shared" si="103"/>
        <v/>
      </c>
      <c r="B204" s="175"/>
      <c r="C204" s="175"/>
      <c r="D204" s="179" t="s">
        <v>180</v>
      </c>
      <c r="E204" s="178"/>
      <c r="F204" s="173"/>
      <c r="G204" s="172"/>
      <c r="H204" s="6"/>
      <c r="I204" s="3"/>
      <c r="J204" s="3"/>
      <c r="K204" s="147"/>
      <c r="L204" s="131"/>
      <c r="M204" s="131"/>
      <c r="N204" s="132"/>
      <c r="O204" s="174"/>
      <c r="P204" s="128"/>
      <c r="V204" s="3"/>
      <c r="W204" s="150"/>
    </row>
    <row r="205" spans="1:23" ht="31.5" x14ac:dyDescent="0.2">
      <c r="A205" s="124">
        <f t="shared" si="103"/>
        <v>95</v>
      </c>
      <c r="B205" s="175" t="s">
        <v>164</v>
      </c>
      <c r="C205" s="175" t="s">
        <v>167</v>
      </c>
      <c r="D205" s="177" t="s">
        <v>165</v>
      </c>
      <c r="E205" s="178">
        <f>3254.41</f>
        <v>3254.41</v>
      </c>
      <c r="F205" s="173">
        <v>0.05</v>
      </c>
      <c r="G205" s="172">
        <f t="shared" ref="G205:G208" si="139">E205+(E205*F205)</f>
        <v>3417.1304999999998</v>
      </c>
      <c r="H205" s="6" t="s">
        <v>120</v>
      </c>
      <c r="I205" s="3">
        <v>4.2831249999999994E-2</v>
      </c>
      <c r="J205" s="3">
        <f t="shared" ref="J205:J208" si="140">I205*G205</f>
        <v>146.35997072812498</v>
      </c>
      <c r="K205" s="170">
        <v>48.89</v>
      </c>
      <c r="L205" s="150">
        <f t="shared" ref="L205:L208" si="141">K205*J205</f>
        <v>7155.5389688980304</v>
      </c>
      <c r="M205" s="150">
        <v>3.1817500000000001</v>
      </c>
      <c r="N205" s="171">
        <f t="shared" ref="N205:N208" si="142">M205*G205</f>
        <v>10872.454968374999</v>
      </c>
      <c r="O205" s="174">
        <f t="shared" ref="O205:O208" si="143">L205+N205</f>
        <v>18027.99393727303</v>
      </c>
      <c r="P205" s="128"/>
      <c r="V205" s="3"/>
      <c r="W205" s="150"/>
    </row>
    <row r="206" spans="1:23" ht="18" customHeight="1" x14ac:dyDescent="0.2">
      <c r="A206" s="124">
        <f t="shared" si="103"/>
        <v>96</v>
      </c>
      <c r="B206" s="175" t="s">
        <v>164</v>
      </c>
      <c r="C206" s="175" t="s">
        <v>167</v>
      </c>
      <c r="D206" s="177" t="s">
        <v>191</v>
      </c>
      <c r="E206" s="178">
        <f>3254.41</f>
        <v>3254.41</v>
      </c>
      <c r="F206" s="173">
        <v>0.05</v>
      </c>
      <c r="G206" s="172">
        <f t="shared" si="139"/>
        <v>3417.1304999999998</v>
      </c>
      <c r="H206" s="6" t="s">
        <v>120</v>
      </c>
      <c r="I206" s="3">
        <v>2.0247499999999998E-2</v>
      </c>
      <c r="J206" s="3">
        <f t="shared" si="140"/>
        <v>69.188349798749982</v>
      </c>
      <c r="K206" s="170">
        <v>48.89</v>
      </c>
      <c r="L206" s="150">
        <f t="shared" si="141"/>
        <v>3382.6184216608867</v>
      </c>
      <c r="M206" s="150">
        <v>1.4062000000000001</v>
      </c>
      <c r="N206" s="171">
        <f t="shared" si="142"/>
        <v>4805.1689090999998</v>
      </c>
      <c r="O206" s="174">
        <f t="shared" si="143"/>
        <v>8187.7873307608861</v>
      </c>
      <c r="P206" s="128"/>
      <c r="V206" s="3"/>
      <c r="W206" s="150"/>
    </row>
    <row r="207" spans="1:23" ht="47.25" x14ac:dyDescent="0.2">
      <c r="A207" s="124">
        <f t="shared" si="103"/>
        <v>97</v>
      </c>
      <c r="B207" s="175" t="s">
        <v>164</v>
      </c>
      <c r="C207" s="175" t="s">
        <v>167</v>
      </c>
      <c r="D207" s="177" t="s">
        <v>273</v>
      </c>
      <c r="E207" s="178">
        <f>E206*3</f>
        <v>9763.23</v>
      </c>
      <c r="F207" s="173">
        <v>0.05</v>
      </c>
      <c r="G207" s="172">
        <f t="shared" si="139"/>
        <v>10251.3915</v>
      </c>
      <c r="H207" s="6" t="s">
        <v>120</v>
      </c>
      <c r="I207" s="3">
        <v>2.414125E-2</v>
      </c>
      <c r="J207" s="3">
        <f t="shared" si="140"/>
        <v>247.48140504937498</v>
      </c>
      <c r="K207" s="170">
        <v>45.89</v>
      </c>
      <c r="L207" s="150">
        <f t="shared" si="141"/>
        <v>11356.921677715818</v>
      </c>
      <c r="M207" s="150">
        <v>2.0024999999999999</v>
      </c>
      <c r="N207" s="171">
        <f t="shared" si="142"/>
        <v>20528.41147875</v>
      </c>
      <c r="O207" s="174">
        <f t="shared" si="143"/>
        <v>31885.333156465818</v>
      </c>
      <c r="P207" s="128"/>
      <c r="V207" s="3"/>
      <c r="W207" s="150"/>
    </row>
    <row r="208" spans="1:23" ht="47.25" x14ac:dyDescent="0.2">
      <c r="A208" s="124">
        <f t="shared" si="103"/>
        <v>98</v>
      </c>
      <c r="B208" s="175" t="s">
        <v>164</v>
      </c>
      <c r="C208" s="175" t="s">
        <v>166</v>
      </c>
      <c r="D208" s="177" t="s">
        <v>127</v>
      </c>
      <c r="E208" s="178">
        <f>3254.41</f>
        <v>3254.41</v>
      </c>
      <c r="F208" s="173">
        <v>0.05</v>
      </c>
      <c r="G208" s="172">
        <f t="shared" si="139"/>
        <v>3417.1304999999998</v>
      </c>
      <c r="H208" s="6" t="s">
        <v>120</v>
      </c>
      <c r="I208" s="3">
        <v>2.414125E-2</v>
      </c>
      <c r="J208" s="3">
        <f t="shared" si="140"/>
        <v>82.493801683124985</v>
      </c>
      <c r="K208" s="170">
        <v>48.89</v>
      </c>
      <c r="L208" s="131">
        <f t="shared" si="141"/>
        <v>4033.1219642879805</v>
      </c>
      <c r="M208" s="150">
        <v>1.2104000000000001</v>
      </c>
      <c r="N208" s="132">
        <f t="shared" si="142"/>
        <v>4136.0947572000005</v>
      </c>
      <c r="O208" s="174">
        <f t="shared" si="143"/>
        <v>8169.216721487981</v>
      </c>
      <c r="P208" s="128"/>
      <c r="V208" s="3"/>
      <c r="W208" s="150"/>
    </row>
    <row r="209" spans="1:23" ht="15.75" x14ac:dyDescent="0.2">
      <c r="A209" s="124" t="str">
        <f t="shared" si="103"/>
        <v/>
      </c>
      <c r="B209" s="175"/>
      <c r="C209" s="175"/>
      <c r="D209" s="177"/>
      <c r="E209" s="178"/>
      <c r="F209" s="173"/>
      <c r="G209" s="172"/>
      <c r="H209" s="6"/>
      <c r="I209" s="3"/>
      <c r="J209" s="3"/>
      <c r="K209" s="170"/>
      <c r="L209" s="150"/>
      <c r="M209" s="150"/>
      <c r="N209" s="171"/>
      <c r="O209" s="174"/>
      <c r="P209" s="128"/>
      <c r="V209" s="3"/>
      <c r="W209" s="150"/>
    </row>
    <row r="210" spans="1:23" ht="18" customHeight="1" x14ac:dyDescent="0.2">
      <c r="A210" s="124" t="str">
        <f t="shared" ref="A210:A273" si="144">IF(H210&lt;&gt;"",1+MAX(A200:A209),"")</f>
        <v/>
      </c>
      <c r="B210" s="175"/>
      <c r="C210" s="175"/>
      <c r="D210" s="180" t="s">
        <v>143</v>
      </c>
      <c r="E210" s="178"/>
      <c r="F210" s="173"/>
      <c r="G210" s="172"/>
      <c r="H210" s="6"/>
      <c r="I210" s="3"/>
      <c r="J210" s="3"/>
      <c r="K210" s="170"/>
      <c r="L210" s="131"/>
      <c r="M210" s="131"/>
      <c r="N210" s="132"/>
      <c r="O210" s="174"/>
      <c r="P210" s="128"/>
      <c r="V210" s="3"/>
      <c r="W210" s="150"/>
    </row>
    <row r="211" spans="1:23" ht="15.75" x14ac:dyDescent="0.2">
      <c r="A211" s="124" t="str">
        <f t="shared" si="144"/>
        <v/>
      </c>
      <c r="B211" s="175"/>
      <c r="C211" s="175"/>
      <c r="D211" s="177"/>
      <c r="E211" s="178"/>
      <c r="F211" s="173"/>
      <c r="G211" s="172"/>
      <c r="H211" s="6"/>
      <c r="I211" s="3"/>
      <c r="J211" s="3"/>
      <c r="K211" s="147"/>
      <c r="L211" s="131"/>
      <c r="M211" s="131"/>
      <c r="N211" s="132"/>
      <c r="O211" s="174"/>
      <c r="P211" s="128"/>
      <c r="V211" s="3"/>
      <c r="W211" s="150"/>
    </row>
    <row r="212" spans="1:23" ht="18.75" x14ac:dyDescent="0.2">
      <c r="A212" s="124" t="str">
        <f t="shared" si="144"/>
        <v/>
      </c>
      <c r="B212" s="175"/>
      <c r="C212" s="175"/>
      <c r="D212" s="179" t="s">
        <v>181</v>
      </c>
      <c r="E212" s="178"/>
      <c r="F212" s="173"/>
      <c r="G212" s="172"/>
      <c r="H212" s="6"/>
      <c r="I212" s="3"/>
      <c r="J212" s="3"/>
      <c r="K212" s="147"/>
      <c r="L212" s="131"/>
      <c r="M212" s="131"/>
      <c r="N212" s="132"/>
      <c r="O212" s="174"/>
      <c r="P212" s="128"/>
      <c r="V212" s="3"/>
      <c r="W212" s="150"/>
    </row>
    <row r="213" spans="1:23" ht="31.5" x14ac:dyDescent="0.2">
      <c r="A213" s="124">
        <f t="shared" si="144"/>
        <v>99</v>
      </c>
      <c r="B213" s="175" t="s">
        <v>164</v>
      </c>
      <c r="C213" s="175" t="s">
        <v>167</v>
      </c>
      <c r="D213" s="177" t="s">
        <v>189</v>
      </c>
      <c r="E213" s="178">
        <f>4039.19*1.02</f>
        <v>4119.9737999999998</v>
      </c>
      <c r="F213" s="173">
        <v>0.05</v>
      </c>
      <c r="G213" s="172">
        <f t="shared" ref="G213:G216" si="145">E213+(E213*F213)</f>
        <v>4325.9724900000001</v>
      </c>
      <c r="H213" s="6" t="s">
        <v>120</v>
      </c>
      <c r="I213" s="3">
        <v>4.2831249999999994E-2</v>
      </c>
      <c r="J213" s="3">
        <f t="shared" ref="J213:J216" si="146">I213*G213</f>
        <v>185.28680921231248</v>
      </c>
      <c r="K213" s="170">
        <v>48.89</v>
      </c>
      <c r="L213" s="150">
        <f t="shared" ref="L213:L216" si="147">K213*J213</f>
        <v>9058.6721023899572</v>
      </c>
      <c r="M213" s="150">
        <v>3.1817500000000001</v>
      </c>
      <c r="N213" s="171">
        <f t="shared" ref="N213:N216" si="148">M213*G213</f>
        <v>13764.162970057501</v>
      </c>
      <c r="O213" s="174">
        <f t="shared" ref="O213:O216" si="149">L213+N213</f>
        <v>22822.835072447459</v>
      </c>
      <c r="P213" s="128"/>
      <c r="V213" s="3"/>
      <c r="W213" s="150"/>
    </row>
    <row r="214" spans="1:23" ht="18" customHeight="1" x14ac:dyDescent="0.2">
      <c r="A214" s="124">
        <f t="shared" si="144"/>
        <v>100</v>
      </c>
      <c r="B214" s="175" t="s">
        <v>164</v>
      </c>
      <c r="C214" s="175" t="s">
        <v>167</v>
      </c>
      <c r="D214" s="177" t="s">
        <v>191</v>
      </c>
      <c r="E214" s="178">
        <f>4039.19*1.02</f>
        <v>4119.9737999999998</v>
      </c>
      <c r="F214" s="173">
        <v>0.05</v>
      </c>
      <c r="G214" s="172">
        <f t="shared" si="145"/>
        <v>4325.9724900000001</v>
      </c>
      <c r="H214" s="6" t="s">
        <v>120</v>
      </c>
      <c r="I214" s="3">
        <v>2.0247499999999998E-2</v>
      </c>
      <c r="J214" s="3">
        <f t="shared" si="146"/>
        <v>87.590127991274997</v>
      </c>
      <c r="K214" s="170">
        <v>48.89</v>
      </c>
      <c r="L214" s="150">
        <f t="shared" si="147"/>
        <v>4282.2813574934344</v>
      </c>
      <c r="M214" s="150">
        <v>1.4062000000000001</v>
      </c>
      <c r="N214" s="171">
        <f t="shared" si="148"/>
        <v>6083.1825154380003</v>
      </c>
      <c r="O214" s="174">
        <f t="shared" si="149"/>
        <v>10365.463872931436</v>
      </c>
      <c r="P214" s="128"/>
      <c r="V214" s="3"/>
      <c r="W214" s="150"/>
    </row>
    <row r="215" spans="1:23" ht="47.25" x14ac:dyDescent="0.2">
      <c r="A215" s="124">
        <f t="shared" si="144"/>
        <v>101</v>
      </c>
      <c r="B215" s="175" t="s">
        <v>164</v>
      </c>
      <c r="C215" s="175" t="s">
        <v>167</v>
      </c>
      <c r="D215" s="177" t="s">
        <v>273</v>
      </c>
      <c r="E215" s="178">
        <f>4039.19*1.02</f>
        <v>4119.9737999999998</v>
      </c>
      <c r="F215" s="173">
        <v>0.05</v>
      </c>
      <c r="G215" s="172">
        <f t="shared" si="145"/>
        <v>4325.9724900000001</v>
      </c>
      <c r="H215" s="6" t="s">
        <v>120</v>
      </c>
      <c r="I215" s="3">
        <v>2.414125E-2</v>
      </c>
      <c r="J215" s="3">
        <f t="shared" si="146"/>
        <v>104.4343833742125</v>
      </c>
      <c r="K215" s="170">
        <v>45.89</v>
      </c>
      <c r="L215" s="150">
        <f t="shared" si="147"/>
        <v>4792.4938530426116</v>
      </c>
      <c r="M215" s="150">
        <v>2.0024999999999999</v>
      </c>
      <c r="N215" s="171">
        <f t="shared" si="148"/>
        <v>8662.7599112249991</v>
      </c>
      <c r="O215" s="174">
        <f t="shared" si="149"/>
        <v>13455.253764267611</v>
      </c>
      <c r="P215" s="128"/>
      <c r="V215" s="3"/>
      <c r="W215" s="150"/>
    </row>
    <row r="216" spans="1:23" ht="47.25" x14ac:dyDescent="0.2">
      <c r="A216" s="124">
        <f t="shared" si="144"/>
        <v>102</v>
      </c>
      <c r="B216" s="175" t="s">
        <v>164</v>
      </c>
      <c r="C216" s="175" t="s">
        <v>166</v>
      </c>
      <c r="D216" s="177" t="s">
        <v>127</v>
      </c>
      <c r="E216" s="178">
        <f>E215*3</f>
        <v>12359.921399999999</v>
      </c>
      <c r="F216" s="173">
        <v>0.05</v>
      </c>
      <c r="G216" s="172">
        <f t="shared" si="145"/>
        <v>12977.917469999999</v>
      </c>
      <c r="H216" s="6" t="s">
        <v>120</v>
      </c>
      <c r="I216" s="3">
        <v>2.414125E-2</v>
      </c>
      <c r="J216" s="3">
        <f t="shared" si="146"/>
        <v>313.30315012263748</v>
      </c>
      <c r="K216" s="170">
        <v>48.89</v>
      </c>
      <c r="L216" s="131">
        <f t="shared" si="147"/>
        <v>15317.391009495746</v>
      </c>
      <c r="M216" s="150">
        <v>1.2104000000000001</v>
      </c>
      <c r="N216" s="132">
        <f t="shared" si="148"/>
        <v>15708.471305688001</v>
      </c>
      <c r="O216" s="174">
        <f t="shared" si="149"/>
        <v>31025.862315183746</v>
      </c>
      <c r="P216" s="128"/>
      <c r="V216" s="3"/>
      <c r="W216" s="150"/>
    </row>
    <row r="217" spans="1:23" ht="15.75" x14ac:dyDescent="0.2">
      <c r="A217" s="124" t="str">
        <f t="shared" si="144"/>
        <v/>
      </c>
      <c r="B217" s="175"/>
      <c r="C217" s="175"/>
      <c r="D217" s="177"/>
      <c r="E217" s="178"/>
      <c r="F217" s="173"/>
      <c r="G217" s="172"/>
      <c r="H217" s="6"/>
      <c r="I217" s="3"/>
      <c r="J217" s="3"/>
      <c r="K217" s="147"/>
      <c r="L217" s="131"/>
      <c r="M217" s="131"/>
      <c r="N217" s="132"/>
      <c r="O217" s="174"/>
      <c r="P217" s="128"/>
      <c r="V217" s="3"/>
      <c r="W217" s="150"/>
    </row>
    <row r="218" spans="1:23" ht="18" customHeight="1" x14ac:dyDescent="0.2">
      <c r="A218" s="124" t="str">
        <f t="shared" si="144"/>
        <v/>
      </c>
      <c r="B218" s="175"/>
      <c r="C218" s="175"/>
      <c r="D218" s="180" t="s">
        <v>143</v>
      </c>
      <c r="E218" s="178"/>
      <c r="F218" s="173"/>
      <c r="G218" s="172"/>
      <c r="H218" s="6"/>
      <c r="I218" s="3"/>
      <c r="J218" s="3"/>
      <c r="K218" s="147"/>
      <c r="L218" s="131"/>
      <c r="M218" s="131"/>
      <c r="N218" s="132"/>
      <c r="O218" s="174"/>
      <c r="P218" s="128"/>
      <c r="V218" s="3"/>
      <c r="W218" s="150"/>
    </row>
    <row r="219" spans="1:23" ht="15.75" x14ac:dyDescent="0.2">
      <c r="A219" s="124" t="str">
        <f t="shared" si="144"/>
        <v/>
      </c>
      <c r="B219" s="175"/>
      <c r="C219" s="175"/>
      <c r="D219" s="177"/>
      <c r="E219" s="178"/>
      <c r="F219" s="173"/>
      <c r="G219" s="172"/>
      <c r="H219" s="6"/>
      <c r="I219" s="3"/>
      <c r="J219" s="3"/>
      <c r="K219" s="147"/>
      <c r="L219" s="131"/>
      <c r="M219" s="131"/>
      <c r="N219" s="132"/>
      <c r="O219" s="174"/>
      <c r="P219" s="128"/>
      <c r="V219" s="3"/>
      <c r="W219" s="150"/>
    </row>
    <row r="220" spans="1:23" ht="18.75" x14ac:dyDescent="0.2">
      <c r="A220" s="124" t="str">
        <f t="shared" si="144"/>
        <v/>
      </c>
      <c r="B220" s="175"/>
      <c r="C220" s="175"/>
      <c r="D220" s="179" t="s">
        <v>182</v>
      </c>
      <c r="E220" s="178"/>
      <c r="F220" s="173"/>
      <c r="G220" s="172"/>
      <c r="H220" s="6"/>
      <c r="I220" s="3"/>
      <c r="J220" s="3"/>
      <c r="K220" s="147"/>
      <c r="L220" s="131"/>
      <c r="M220" s="131"/>
      <c r="N220" s="132"/>
      <c r="O220" s="174"/>
      <c r="P220" s="128"/>
      <c r="V220" s="3"/>
      <c r="W220" s="150"/>
    </row>
    <row r="221" spans="1:23" ht="31.5" x14ac:dyDescent="0.2">
      <c r="A221" s="124">
        <f t="shared" si="144"/>
        <v>103</v>
      </c>
      <c r="B221" s="175" t="s">
        <v>164</v>
      </c>
      <c r="C221" s="175" t="s">
        <v>167</v>
      </c>
      <c r="D221" s="177" t="s">
        <v>165</v>
      </c>
      <c r="E221" s="178">
        <f>2651.16</f>
        <v>2651.16</v>
      </c>
      <c r="F221" s="173">
        <v>0.05</v>
      </c>
      <c r="G221" s="172">
        <f t="shared" ref="G221:G224" si="150">E221+(E221*F221)</f>
        <v>2783.7179999999998</v>
      </c>
      <c r="H221" s="6" t="s">
        <v>120</v>
      </c>
      <c r="I221" s="3">
        <v>4.2831249999999994E-2</v>
      </c>
      <c r="J221" s="3">
        <f t="shared" ref="J221:J224" si="151">I221*G221</f>
        <v>119.23012158749998</v>
      </c>
      <c r="K221" s="170">
        <v>48.89</v>
      </c>
      <c r="L221" s="150">
        <f t="shared" ref="L221:L224" si="152">K221*J221</f>
        <v>5829.1606444128738</v>
      </c>
      <c r="M221" s="150">
        <v>3.1817500000000001</v>
      </c>
      <c r="N221" s="171">
        <f t="shared" ref="N221:N224" si="153">M221*G221</f>
        <v>8857.094746499999</v>
      </c>
      <c r="O221" s="174">
        <f t="shared" ref="O221:O224" si="154">L221+N221</f>
        <v>14686.255390912873</v>
      </c>
      <c r="P221" s="128"/>
      <c r="V221" s="3"/>
      <c r="W221" s="150"/>
    </row>
    <row r="222" spans="1:23" ht="18" customHeight="1" x14ac:dyDescent="0.2">
      <c r="A222" s="124">
        <f t="shared" si="144"/>
        <v>104</v>
      </c>
      <c r="B222" s="175" t="s">
        <v>164</v>
      </c>
      <c r="C222" s="175" t="s">
        <v>167</v>
      </c>
      <c r="D222" s="177" t="s">
        <v>191</v>
      </c>
      <c r="E222" s="178">
        <f>2651.16</f>
        <v>2651.16</v>
      </c>
      <c r="F222" s="173">
        <v>0.05</v>
      </c>
      <c r="G222" s="172">
        <f t="shared" si="150"/>
        <v>2783.7179999999998</v>
      </c>
      <c r="H222" s="6" t="s">
        <v>120</v>
      </c>
      <c r="I222" s="3">
        <v>2.0247499999999998E-2</v>
      </c>
      <c r="J222" s="3">
        <f t="shared" si="151"/>
        <v>56.36333020499999</v>
      </c>
      <c r="K222" s="170">
        <v>48.89</v>
      </c>
      <c r="L222" s="150">
        <f t="shared" si="152"/>
        <v>2755.6032137224497</v>
      </c>
      <c r="M222" s="150">
        <v>1.4062000000000001</v>
      </c>
      <c r="N222" s="171">
        <f t="shared" si="153"/>
        <v>3914.4642515999999</v>
      </c>
      <c r="O222" s="174">
        <f t="shared" si="154"/>
        <v>6670.0674653224496</v>
      </c>
      <c r="P222" s="128"/>
      <c r="V222" s="3"/>
      <c r="W222" s="150"/>
    </row>
    <row r="223" spans="1:23" ht="47.25" x14ac:dyDescent="0.2">
      <c r="A223" s="124">
        <f t="shared" si="144"/>
        <v>105</v>
      </c>
      <c r="B223" s="175" t="s">
        <v>164</v>
      </c>
      <c r="C223" s="175" t="s">
        <v>167</v>
      </c>
      <c r="D223" s="177" t="s">
        <v>273</v>
      </c>
      <c r="E223" s="178">
        <f>E222*3</f>
        <v>7953.48</v>
      </c>
      <c r="F223" s="173">
        <v>0.05</v>
      </c>
      <c r="G223" s="172">
        <f t="shared" si="150"/>
        <v>8351.1539999999986</v>
      </c>
      <c r="H223" s="6" t="s">
        <v>120</v>
      </c>
      <c r="I223" s="3">
        <v>2.414125E-2</v>
      </c>
      <c r="J223" s="3">
        <f t="shared" si="151"/>
        <v>201.60729650249996</v>
      </c>
      <c r="K223" s="170">
        <v>45.89</v>
      </c>
      <c r="L223" s="150">
        <f t="shared" si="152"/>
        <v>9251.7588364997227</v>
      </c>
      <c r="M223" s="150">
        <v>2.0024999999999999</v>
      </c>
      <c r="N223" s="171">
        <f t="shared" si="153"/>
        <v>16723.185884999995</v>
      </c>
      <c r="O223" s="174">
        <f t="shared" si="154"/>
        <v>25974.94472149972</v>
      </c>
      <c r="P223" s="128"/>
      <c r="V223" s="3"/>
      <c r="W223" s="150"/>
    </row>
    <row r="224" spans="1:23" ht="47.25" x14ac:dyDescent="0.2">
      <c r="A224" s="124">
        <f t="shared" si="144"/>
        <v>106</v>
      </c>
      <c r="B224" s="175" t="s">
        <v>164</v>
      </c>
      <c r="C224" s="175" t="s">
        <v>166</v>
      </c>
      <c r="D224" s="177" t="s">
        <v>127</v>
      </c>
      <c r="E224" s="178">
        <f>2651.16</f>
        <v>2651.16</v>
      </c>
      <c r="F224" s="173">
        <v>0.05</v>
      </c>
      <c r="G224" s="172">
        <f t="shared" si="150"/>
        <v>2783.7179999999998</v>
      </c>
      <c r="H224" s="6" t="s">
        <v>120</v>
      </c>
      <c r="I224" s="3">
        <v>2.414125E-2</v>
      </c>
      <c r="J224" s="3">
        <f t="shared" si="151"/>
        <v>67.202432167499992</v>
      </c>
      <c r="K224" s="170">
        <v>48.89</v>
      </c>
      <c r="L224" s="131">
        <f t="shared" si="152"/>
        <v>3285.5269086690746</v>
      </c>
      <c r="M224" s="150">
        <v>1.2104000000000001</v>
      </c>
      <c r="N224" s="132">
        <f t="shared" si="153"/>
        <v>3369.4122672000003</v>
      </c>
      <c r="O224" s="174">
        <f t="shared" si="154"/>
        <v>6654.9391758690745</v>
      </c>
      <c r="P224" s="128"/>
      <c r="V224" s="3"/>
      <c r="W224" s="150"/>
    </row>
    <row r="225" spans="1:23" ht="15.75" x14ac:dyDescent="0.2">
      <c r="A225" s="124" t="str">
        <f t="shared" si="144"/>
        <v/>
      </c>
      <c r="B225" s="175"/>
      <c r="C225" s="175"/>
      <c r="D225" s="177"/>
      <c r="E225" s="178"/>
      <c r="F225" s="173"/>
      <c r="G225" s="172"/>
      <c r="H225" s="6"/>
      <c r="I225" s="3"/>
      <c r="J225" s="3"/>
      <c r="K225" s="147"/>
      <c r="L225" s="131"/>
      <c r="M225" s="131"/>
      <c r="N225" s="132"/>
      <c r="O225" s="174"/>
      <c r="P225" s="128"/>
      <c r="V225" s="3"/>
      <c r="W225" s="150"/>
    </row>
    <row r="226" spans="1:23" ht="18" customHeight="1" x14ac:dyDescent="0.2">
      <c r="A226" s="124" t="str">
        <f t="shared" si="144"/>
        <v/>
      </c>
      <c r="B226" s="175"/>
      <c r="C226" s="175"/>
      <c r="D226" s="180" t="s">
        <v>143</v>
      </c>
      <c r="E226" s="178"/>
      <c r="F226" s="173"/>
      <c r="G226" s="172"/>
      <c r="H226" s="6"/>
      <c r="I226" s="3"/>
      <c r="J226" s="3"/>
      <c r="K226" s="147"/>
      <c r="L226" s="131"/>
      <c r="M226" s="131"/>
      <c r="N226" s="132"/>
      <c r="O226" s="174"/>
      <c r="P226" s="128"/>
      <c r="V226" s="3"/>
      <c r="W226" s="150"/>
    </row>
    <row r="227" spans="1:23" ht="15.75" x14ac:dyDescent="0.2">
      <c r="A227" s="124" t="str">
        <f t="shared" si="144"/>
        <v/>
      </c>
      <c r="B227" s="175"/>
      <c r="C227" s="175"/>
      <c r="D227" s="177"/>
      <c r="E227" s="178"/>
      <c r="F227" s="173"/>
      <c r="G227" s="172"/>
      <c r="H227" s="6"/>
      <c r="I227" s="3"/>
      <c r="J227" s="3"/>
      <c r="K227" s="147"/>
      <c r="L227" s="131"/>
      <c r="M227" s="131"/>
      <c r="N227" s="132"/>
      <c r="O227" s="174"/>
      <c r="P227" s="128"/>
      <c r="V227" s="3"/>
      <c r="W227" s="150"/>
    </row>
    <row r="228" spans="1:23" ht="18.75" x14ac:dyDescent="0.2">
      <c r="A228" s="124" t="str">
        <f t="shared" si="144"/>
        <v/>
      </c>
      <c r="B228" s="175"/>
      <c r="C228" s="175"/>
      <c r="D228" s="179" t="s">
        <v>183</v>
      </c>
      <c r="E228" s="178"/>
      <c r="F228" s="173"/>
      <c r="G228" s="172"/>
      <c r="H228" s="6"/>
      <c r="I228" s="3"/>
      <c r="J228" s="3"/>
      <c r="K228" s="147"/>
      <c r="L228" s="131"/>
      <c r="M228" s="131"/>
      <c r="N228" s="132"/>
      <c r="O228" s="174"/>
      <c r="P228" s="128"/>
      <c r="V228" s="3"/>
      <c r="W228" s="150"/>
    </row>
    <row r="229" spans="1:23" ht="31.5" x14ac:dyDescent="0.2">
      <c r="A229" s="124">
        <f t="shared" si="144"/>
        <v>107</v>
      </c>
      <c r="B229" s="175" t="s">
        <v>164</v>
      </c>
      <c r="C229" s="175" t="s">
        <v>167</v>
      </c>
      <c r="D229" s="177" t="s">
        <v>165</v>
      </c>
      <c r="E229" s="178">
        <f>3104.57</f>
        <v>3104.57</v>
      </c>
      <c r="F229" s="173">
        <v>0.05</v>
      </c>
      <c r="G229" s="172">
        <f t="shared" ref="G229:G232" si="155">E229+(E229*F229)</f>
        <v>3259.7985000000003</v>
      </c>
      <c r="H229" s="6" t="s">
        <v>120</v>
      </c>
      <c r="I229" s="3">
        <v>4.2831249999999994E-2</v>
      </c>
      <c r="J229" s="3">
        <f t="shared" ref="J229:J232" si="156">I229*G229</f>
        <v>139.62124450312498</v>
      </c>
      <c r="K229" s="170">
        <v>48.89</v>
      </c>
      <c r="L229" s="150">
        <f t="shared" ref="L229:L232" si="157">K229*J229</f>
        <v>6826.0826437577807</v>
      </c>
      <c r="M229" s="150">
        <v>3.1817500000000001</v>
      </c>
      <c r="N229" s="171">
        <f t="shared" ref="N229:N232" si="158">M229*G229</f>
        <v>10371.863877375001</v>
      </c>
      <c r="O229" s="174">
        <f t="shared" ref="O229:O232" si="159">L229+N229</f>
        <v>17197.946521132781</v>
      </c>
      <c r="P229" s="128"/>
      <c r="V229" s="3"/>
      <c r="W229" s="150"/>
    </row>
    <row r="230" spans="1:23" ht="18" customHeight="1" x14ac:dyDescent="0.2">
      <c r="A230" s="124">
        <f t="shared" si="144"/>
        <v>108</v>
      </c>
      <c r="B230" s="175" t="s">
        <v>164</v>
      </c>
      <c r="C230" s="175" t="s">
        <v>167</v>
      </c>
      <c r="D230" s="177" t="s">
        <v>191</v>
      </c>
      <c r="E230" s="178">
        <f>3104.57</f>
        <v>3104.57</v>
      </c>
      <c r="F230" s="173">
        <v>0.05</v>
      </c>
      <c r="G230" s="172">
        <f t="shared" si="155"/>
        <v>3259.7985000000003</v>
      </c>
      <c r="H230" s="6" t="s">
        <v>120</v>
      </c>
      <c r="I230" s="3">
        <v>2.0247499999999998E-2</v>
      </c>
      <c r="J230" s="3">
        <f t="shared" si="156"/>
        <v>66.002770128750001</v>
      </c>
      <c r="K230" s="170">
        <v>48.89</v>
      </c>
      <c r="L230" s="150">
        <f t="shared" si="157"/>
        <v>3226.8754315945876</v>
      </c>
      <c r="M230" s="150">
        <v>1.4062000000000001</v>
      </c>
      <c r="N230" s="171">
        <f t="shared" si="158"/>
        <v>4583.9286507000006</v>
      </c>
      <c r="O230" s="174">
        <f t="shared" si="159"/>
        <v>7810.8040822945877</v>
      </c>
      <c r="P230" s="128"/>
      <c r="V230" s="3"/>
      <c r="W230" s="150"/>
    </row>
    <row r="231" spans="1:23" ht="47.25" x14ac:dyDescent="0.2">
      <c r="A231" s="124">
        <f t="shared" si="144"/>
        <v>109</v>
      </c>
      <c r="B231" s="175" t="s">
        <v>164</v>
      </c>
      <c r="C231" s="175" t="s">
        <v>167</v>
      </c>
      <c r="D231" s="177" t="s">
        <v>273</v>
      </c>
      <c r="E231" s="178">
        <f>E230*3</f>
        <v>9313.7100000000009</v>
      </c>
      <c r="F231" s="173">
        <v>0.05</v>
      </c>
      <c r="G231" s="172">
        <f t="shared" si="155"/>
        <v>9779.3955000000005</v>
      </c>
      <c r="H231" s="6" t="s">
        <v>120</v>
      </c>
      <c r="I231" s="3">
        <v>2.414125E-2</v>
      </c>
      <c r="J231" s="3">
        <f t="shared" si="156"/>
        <v>236.086831614375</v>
      </c>
      <c r="K231" s="170">
        <v>45.89</v>
      </c>
      <c r="L231" s="150">
        <f t="shared" si="157"/>
        <v>10834.024702783669</v>
      </c>
      <c r="M231" s="150">
        <v>2.0024999999999999</v>
      </c>
      <c r="N231" s="171">
        <f t="shared" si="158"/>
        <v>19583.239488750001</v>
      </c>
      <c r="O231" s="174">
        <f t="shared" si="159"/>
        <v>30417.264191533672</v>
      </c>
      <c r="P231" s="128"/>
      <c r="V231" s="3"/>
      <c r="W231" s="150"/>
    </row>
    <row r="232" spans="1:23" ht="47.25" x14ac:dyDescent="0.2">
      <c r="A232" s="124">
        <f t="shared" si="144"/>
        <v>110</v>
      </c>
      <c r="B232" s="175" t="s">
        <v>164</v>
      </c>
      <c r="C232" s="175" t="s">
        <v>166</v>
      </c>
      <c r="D232" s="177" t="s">
        <v>127</v>
      </c>
      <c r="E232" s="178">
        <f>3104.57</f>
        <v>3104.57</v>
      </c>
      <c r="F232" s="173">
        <v>0.05</v>
      </c>
      <c r="G232" s="172">
        <f t="shared" si="155"/>
        <v>3259.7985000000003</v>
      </c>
      <c r="H232" s="6" t="s">
        <v>120</v>
      </c>
      <c r="I232" s="3">
        <v>2.414125E-2</v>
      </c>
      <c r="J232" s="3">
        <f t="shared" si="156"/>
        <v>78.69561053812501</v>
      </c>
      <c r="K232" s="170">
        <v>48.89</v>
      </c>
      <c r="L232" s="131">
        <f t="shared" si="157"/>
        <v>3847.4283992089318</v>
      </c>
      <c r="M232" s="150">
        <v>1.2104000000000001</v>
      </c>
      <c r="N232" s="132">
        <f t="shared" si="158"/>
        <v>3945.6601044000008</v>
      </c>
      <c r="O232" s="174">
        <f t="shared" si="159"/>
        <v>7793.088503608933</v>
      </c>
      <c r="P232" s="128"/>
      <c r="V232" s="3"/>
      <c r="W232" s="150"/>
    </row>
    <row r="233" spans="1:23" ht="15.75" x14ac:dyDescent="0.2">
      <c r="A233" s="124" t="str">
        <f t="shared" si="144"/>
        <v/>
      </c>
      <c r="B233" s="175"/>
      <c r="C233" s="175"/>
      <c r="D233" s="177"/>
      <c r="E233" s="178"/>
      <c r="F233" s="173"/>
      <c r="G233" s="172"/>
      <c r="H233" s="6"/>
      <c r="I233" s="3"/>
      <c r="J233" s="3"/>
      <c r="K233" s="147"/>
      <c r="L233" s="131"/>
      <c r="M233" s="131"/>
      <c r="N233" s="132"/>
      <c r="O233" s="174"/>
      <c r="P233" s="128"/>
      <c r="V233" s="3"/>
      <c r="W233" s="150"/>
    </row>
    <row r="234" spans="1:23" ht="18" customHeight="1" x14ac:dyDescent="0.2">
      <c r="A234" s="124" t="str">
        <f t="shared" si="144"/>
        <v/>
      </c>
      <c r="B234" s="175"/>
      <c r="C234" s="175"/>
      <c r="D234" s="180" t="s">
        <v>143</v>
      </c>
      <c r="E234" s="178"/>
      <c r="F234" s="173"/>
      <c r="G234" s="172"/>
      <c r="H234" s="6"/>
      <c r="I234" s="3"/>
      <c r="J234" s="3"/>
      <c r="K234" s="147"/>
      <c r="L234" s="131"/>
      <c r="M234" s="131"/>
      <c r="N234" s="132"/>
      <c r="O234" s="174"/>
      <c r="P234" s="128"/>
      <c r="V234" s="3"/>
      <c r="W234" s="150"/>
    </row>
    <row r="235" spans="1:23" ht="15.75" x14ac:dyDescent="0.2">
      <c r="A235" s="124" t="str">
        <f t="shared" si="144"/>
        <v/>
      </c>
      <c r="B235" s="175"/>
      <c r="C235" s="175"/>
      <c r="D235" s="177"/>
      <c r="E235" s="178"/>
      <c r="F235" s="173"/>
      <c r="G235" s="172"/>
      <c r="H235" s="6"/>
      <c r="I235" s="3"/>
      <c r="J235" s="3"/>
      <c r="K235" s="147"/>
      <c r="L235" s="131"/>
      <c r="M235" s="131"/>
      <c r="N235" s="132"/>
      <c r="O235" s="174"/>
      <c r="P235" s="128"/>
      <c r="V235" s="3"/>
      <c r="W235" s="150"/>
    </row>
    <row r="236" spans="1:23" ht="18.75" x14ac:dyDescent="0.2">
      <c r="A236" s="124" t="str">
        <f t="shared" si="144"/>
        <v/>
      </c>
      <c r="B236" s="175"/>
      <c r="C236" s="175"/>
      <c r="D236" s="179" t="s">
        <v>184</v>
      </c>
      <c r="E236" s="178"/>
      <c r="F236" s="173"/>
      <c r="G236" s="172"/>
      <c r="H236" s="6"/>
      <c r="I236" s="3"/>
      <c r="J236" s="3"/>
      <c r="K236" s="147"/>
      <c r="L236" s="131"/>
      <c r="M236" s="131"/>
      <c r="N236" s="132"/>
      <c r="O236" s="174"/>
      <c r="P236" s="128"/>
      <c r="V236" s="3"/>
      <c r="W236" s="150"/>
    </row>
    <row r="237" spans="1:23" ht="31.5" x14ac:dyDescent="0.2">
      <c r="A237" s="124">
        <f t="shared" si="144"/>
        <v>111</v>
      </c>
      <c r="B237" s="175" t="s">
        <v>164</v>
      </c>
      <c r="C237" s="175" t="s">
        <v>167</v>
      </c>
      <c r="D237" s="177" t="s">
        <v>165</v>
      </c>
      <c r="E237" s="178">
        <f>4607.1</f>
        <v>4607.1000000000004</v>
      </c>
      <c r="F237" s="173">
        <v>0.05</v>
      </c>
      <c r="G237" s="172">
        <f t="shared" ref="G237:G240" si="160">E237+(E237*F237)</f>
        <v>4837.4549999999999</v>
      </c>
      <c r="H237" s="6" t="s">
        <v>120</v>
      </c>
      <c r="I237" s="3">
        <v>4.2831249999999994E-2</v>
      </c>
      <c r="J237" s="3">
        <f t="shared" ref="J237:J240" si="161">I237*G237</f>
        <v>207.19424446874996</v>
      </c>
      <c r="K237" s="170">
        <v>48.89</v>
      </c>
      <c r="L237" s="150">
        <f t="shared" ref="L237:L240" si="162">K237*J237</f>
        <v>10129.726612077186</v>
      </c>
      <c r="M237" s="150">
        <v>3.1817500000000001</v>
      </c>
      <c r="N237" s="171">
        <f t="shared" ref="N237:N240" si="163">M237*G237</f>
        <v>15391.57244625</v>
      </c>
      <c r="O237" s="174">
        <f t="shared" ref="O237:O240" si="164">L237+N237</f>
        <v>25521.299058327186</v>
      </c>
      <c r="P237" s="128"/>
      <c r="V237" s="3"/>
      <c r="W237" s="150"/>
    </row>
    <row r="238" spans="1:23" ht="18" customHeight="1" x14ac:dyDescent="0.2">
      <c r="A238" s="124">
        <f t="shared" si="144"/>
        <v>112</v>
      </c>
      <c r="B238" s="175" t="s">
        <v>164</v>
      </c>
      <c r="C238" s="175" t="s">
        <v>167</v>
      </c>
      <c r="D238" s="177" t="s">
        <v>191</v>
      </c>
      <c r="E238" s="178">
        <f>4607.1</f>
        <v>4607.1000000000004</v>
      </c>
      <c r="F238" s="173">
        <v>0.05</v>
      </c>
      <c r="G238" s="172">
        <f t="shared" si="160"/>
        <v>4837.4549999999999</v>
      </c>
      <c r="H238" s="6" t="s">
        <v>120</v>
      </c>
      <c r="I238" s="3">
        <v>2.0247499999999998E-2</v>
      </c>
      <c r="J238" s="3">
        <f t="shared" si="161"/>
        <v>97.946370112499991</v>
      </c>
      <c r="K238" s="170">
        <v>48.89</v>
      </c>
      <c r="L238" s="150">
        <f t="shared" si="162"/>
        <v>4788.5980348001249</v>
      </c>
      <c r="M238" s="150">
        <v>1.4062000000000001</v>
      </c>
      <c r="N238" s="171">
        <f t="shared" si="163"/>
        <v>6802.4292210000003</v>
      </c>
      <c r="O238" s="174">
        <f t="shared" si="164"/>
        <v>11591.027255800125</v>
      </c>
      <c r="P238" s="128"/>
      <c r="V238" s="3"/>
      <c r="W238" s="150"/>
    </row>
    <row r="239" spans="1:23" ht="47.25" x14ac:dyDescent="0.2">
      <c r="A239" s="124">
        <f t="shared" si="144"/>
        <v>113</v>
      </c>
      <c r="B239" s="175" t="s">
        <v>164</v>
      </c>
      <c r="C239" s="175" t="s">
        <v>167</v>
      </c>
      <c r="D239" s="177" t="s">
        <v>273</v>
      </c>
      <c r="E239" s="178">
        <f>E238*3</f>
        <v>13821.300000000001</v>
      </c>
      <c r="F239" s="173">
        <v>0.05</v>
      </c>
      <c r="G239" s="172">
        <f t="shared" si="160"/>
        <v>14512.365000000002</v>
      </c>
      <c r="H239" s="6" t="s">
        <v>120</v>
      </c>
      <c r="I239" s="3">
        <v>2.414125E-2</v>
      </c>
      <c r="J239" s="3">
        <f t="shared" si="161"/>
        <v>350.34663155625003</v>
      </c>
      <c r="K239" s="170">
        <v>45.89</v>
      </c>
      <c r="L239" s="150">
        <f t="shared" si="162"/>
        <v>16077.406922116314</v>
      </c>
      <c r="M239" s="150">
        <v>2.0024999999999999</v>
      </c>
      <c r="N239" s="171">
        <f t="shared" si="163"/>
        <v>29061.010912500002</v>
      </c>
      <c r="O239" s="174">
        <f t="shared" si="164"/>
        <v>45138.417834616317</v>
      </c>
      <c r="P239" s="128"/>
      <c r="V239" s="3"/>
      <c r="W239" s="150"/>
    </row>
    <row r="240" spans="1:23" ht="47.25" x14ac:dyDescent="0.2">
      <c r="A240" s="124">
        <f t="shared" si="144"/>
        <v>114</v>
      </c>
      <c r="B240" s="175" t="s">
        <v>164</v>
      </c>
      <c r="C240" s="175" t="s">
        <v>166</v>
      </c>
      <c r="D240" s="177" t="s">
        <v>127</v>
      </c>
      <c r="E240" s="178">
        <f>4607.1</f>
        <v>4607.1000000000004</v>
      </c>
      <c r="F240" s="173">
        <v>0.05</v>
      </c>
      <c r="G240" s="172">
        <f t="shared" si="160"/>
        <v>4837.4549999999999</v>
      </c>
      <c r="H240" s="6" t="s">
        <v>120</v>
      </c>
      <c r="I240" s="3">
        <v>2.414125E-2</v>
      </c>
      <c r="J240" s="3">
        <f t="shared" si="161"/>
        <v>116.78221051874999</v>
      </c>
      <c r="K240" s="170">
        <v>48.89</v>
      </c>
      <c r="L240" s="131">
        <f t="shared" si="162"/>
        <v>5709.4822722616873</v>
      </c>
      <c r="M240" s="150">
        <v>1.2104000000000001</v>
      </c>
      <c r="N240" s="132">
        <f t="shared" si="163"/>
        <v>5855.255532000001</v>
      </c>
      <c r="O240" s="174">
        <f t="shared" si="164"/>
        <v>11564.737804261687</v>
      </c>
      <c r="P240" s="128"/>
      <c r="V240" s="3"/>
      <c r="W240" s="150"/>
    </row>
    <row r="241" spans="1:23" ht="15.75" x14ac:dyDescent="0.2">
      <c r="A241" s="124" t="str">
        <f t="shared" si="144"/>
        <v/>
      </c>
      <c r="B241" s="175"/>
      <c r="C241" s="175"/>
      <c r="D241" s="177"/>
      <c r="E241" s="178"/>
      <c r="F241" s="173"/>
      <c r="G241" s="172"/>
      <c r="H241" s="6"/>
      <c r="I241" s="3"/>
      <c r="J241" s="3"/>
      <c r="K241" s="147"/>
      <c r="L241" s="131"/>
      <c r="M241" s="131"/>
      <c r="N241" s="132"/>
      <c r="O241" s="174"/>
      <c r="P241" s="128"/>
      <c r="V241" s="3"/>
      <c r="W241" s="150"/>
    </row>
    <row r="242" spans="1:23" ht="18" customHeight="1" x14ac:dyDescent="0.2">
      <c r="A242" s="124" t="str">
        <f t="shared" si="144"/>
        <v/>
      </c>
      <c r="B242" s="175"/>
      <c r="C242" s="175"/>
      <c r="D242" s="180" t="s">
        <v>143</v>
      </c>
      <c r="E242" s="178"/>
      <c r="F242" s="173"/>
      <c r="G242" s="172"/>
      <c r="H242" s="6"/>
      <c r="I242" s="3"/>
      <c r="J242" s="3"/>
      <c r="K242" s="147"/>
      <c r="L242" s="131"/>
      <c r="M242" s="131"/>
      <c r="N242" s="132"/>
      <c r="O242" s="174"/>
      <c r="P242" s="128"/>
      <c r="V242" s="3"/>
      <c r="W242" s="150"/>
    </row>
    <row r="243" spans="1:23" ht="15.75" x14ac:dyDescent="0.2">
      <c r="A243" s="124" t="str">
        <f t="shared" si="144"/>
        <v/>
      </c>
      <c r="B243" s="175"/>
      <c r="C243" s="175"/>
      <c r="D243" s="177"/>
      <c r="E243" s="178"/>
      <c r="F243" s="173"/>
      <c r="G243" s="172"/>
      <c r="H243" s="6"/>
      <c r="I243" s="3"/>
      <c r="J243" s="3"/>
      <c r="K243" s="147"/>
      <c r="L243" s="131"/>
      <c r="M243" s="131"/>
      <c r="N243" s="132"/>
      <c r="O243" s="174"/>
      <c r="P243" s="128"/>
      <c r="V243" s="3"/>
      <c r="W243" s="150"/>
    </row>
    <row r="244" spans="1:23" ht="18.75" x14ac:dyDescent="0.2">
      <c r="A244" s="124" t="str">
        <f t="shared" si="144"/>
        <v/>
      </c>
      <c r="B244" s="175"/>
      <c r="C244" s="175"/>
      <c r="D244" s="179" t="s">
        <v>185</v>
      </c>
      <c r="E244" s="178"/>
      <c r="F244" s="173"/>
      <c r="G244" s="172"/>
      <c r="H244" s="6"/>
      <c r="I244" s="3"/>
      <c r="J244" s="3"/>
      <c r="K244" s="147"/>
      <c r="L244" s="131"/>
      <c r="M244" s="131"/>
      <c r="N244" s="132"/>
      <c r="O244" s="174"/>
      <c r="P244" s="128"/>
      <c r="V244" s="3"/>
      <c r="W244" s="150"/>
    </row>
    <row r="245" spans="1:23" ht="31.5" x14ac:dyDescent="0.2">
      <c r="A245" s="124">
        <f t="shared" si="144"/>
        <v>115</v>
      </c>
      <c r="B245" s="175" t="s">
        <v>164</v>
      </c>
      <c r="C245" s="175" t="s">
        <v>167</v>
      </c>
      <c r="D245" s="177" t="s">
        <v>165</v>
      </c>
      <c r="E245" s="178">
        <f>3907</f>
        <v>3907</v>
      </c>
      <c r="F245" s="173">
        <v>0.05</v>
      </c>
      <c r="G245" s="172">
        <f t="shared" ref="G245:G248" si="165">E245+(E245*F245)</f>
        <v>4102.3500000000004</v>
      </c>
      <c r="H245" s="6" t="s">
        <v>120</v>
      </c>
      <c r="I245" s="3">
        <v>4.2831249999999994E-2</v>
      </c>
      <c r="J245" s="3">
        <f t="shared" ref="J245:J248" si="166">I245*G245</f>
        <v>175.7087784375</v>
      </c>
      <c r="K245" s="170">
        <v>48.89</v>
      </c>
      <c r="L245" s="150">
        <f t="shared" ref="L245:L248" si="167">K245*J245</f>
        <v>8590.4021778093756</v>
      </c>
      <c r="M245" s="150">
        <v>3.1817500000000001</v>
      </c>
      <c r="N245" s="171">
        <f t="shared" ref="N245:N248" si="168">M245*G245</f>
        <v>13052.652112500002</v>
      </c>
      <c r="O245" s="174">
        <f t="shared" ref="O245:O248" si="169">L245+N245</f>
        <v>21643.054290309377</v>
      </c>
      <c r="P245" s="128"/>
      <c r="V245" s="3"/>
      <c r="W245" s="150"/>
    </row>
    <row r="246" spans="1:23" ht="18" customHeight="1" x14ac:dyDescent="0.2">
      <c r="A246" s="124">
        <f t="shared" si="144"/>
        <v>116</v>
      </c>
      <c r="B246" s="175" t="s">
        <v>164</v>
      </c>
      <c r="C246" s="175" t="s">
        <v>167</v>
      </c>
      <c r="D246" s="177" t="s">
        <v>191</v>
      </c>
      <c r="E246" s="178">
        <f>3907</f>
        <v>3907</v>
      </c>
      <c r="F246" s="173">
        <v>0.05</v>
      </c>
      <c r="G246" s="172">
        <f t="shared" si="165"/>
        <v>4102.3500000000004</v>
      </c>
      <c r="H246" s="6" t="s">
        <v>120</v>
      </c>
      <c r="I246" s="3">
        <v>2.0247499999999998E-2</v>
      </c>
      <c r="J246" s="3">
        <f t="shared" si="166"/>
        <v>83.062331624999999</v>
      </c>
      <c r="K246" s="170">
        <v>48.89</v>
      </c>
      <c r="L246" s="150">
        <f t="shared" si="167"/>
        <v>4060.9173931462501</v>
      </c>
      <c r="M246" s="150">
        <v>1.4062000000000001</v>
      </c>
      <c r="N246" s="171">
        <f t="shared" si="168"/>
        <v>5768.7245700000012</v>
      </c>
      <c r="O246" s="174">
        <f t="shared" si="169"/>
        <v>9829.6419631462522</v>
      </c>
      <c r="P246" s="128"/>
      <c r="V246" s="3"/>
      <c r="W246" s="150"/>
    </row>
    <row r="247" spans="1:23" ht="47.25" x14ac:dyDescent="0.2">
      <c r="A247" s="124">
        <f t="shared" si="144"/>
        <v>117</v>
      </c>
      <c r="B247" s="175" t="s">
        <v>164</v>
      </c>
      <c r="C247" s="175" t="s">
        <v>167</v>
      </c>
      <c r="D247" s="177" t="s">
        <v>273</v>
      </c>
      <c r="E247" s="178">
        <f>E246*3</f>
        <v>11721</v>
      </c>
      <c r="F247" s="173">
        <v>0.05</v>
      </c>
      <c r="G247" s="172">
        <f t="shared" si="165"/>
        <v>12307.05</v>
      </c>
      <c r="H247" s="6" t="s">
        <v>120</v>
      </c>
      <c r="I247" s="3">
        <v>2.414125E-2</v>
      </c>
      <c r="J247" s="3">
        <f t="shared" si="166"/>
        <v>297.1075708125</v>
      </c>
      <c r="K247" s="170">
        <v>45.89</v>
      </c>
      <c r="L247" s="150">
        <f t="shared" si="167"/>
        <v>13634.266424585625</v>
      </c>
      <c r="M247" s="150">
        <v>2.0024999999999999</v>
      </c>
      <c r="N247" s="171">
        <f t="shared" si="168"/>
        <v>24644.867624999999</v>
      </c>
      <c r="O247" s="174">
        <f t="shared" si="169"/>
        <v>38279.134049585628</v>
      </c>
      <c r="P247" s="128"/>
      <c r="V247" s="3"/>
      <c r="W247" s="150"/>
    </row>
    <row r="248" spans="1:23" ht="47.25" x14ac:dyDescent="0.2">
      <c r="A248" s="124">
        <f t="shared" si="144"/>
        <v>118</v>
      </c>
      <c r="B248" s="175" t="s">
        <v>164</v>
      </c>
      <c r="C248" s="175" t="s">
        <v>166</v>
      </c>
      <c r="D248" s="177" t="s">
        <v>127</v>
      </c>
      <c r="E248" s="178">
        <f>3907</f>
        <v>3907</v>
      </c>
      <c r="F248" s="173">
        <v>0.05</v>
      </c>
      <c r="G248" s="172">
        <f t="shared" si="165"/>
        <v>4102.3500000000004</v>
      </c>
      <c r="H248" s="6" t="s">
        <v>120</v>
      </c>
      <c r="I248" s="3">
        <v>2.414125E-2</v>
      </c>
      <c r="J248" s="3">
        <f t="shared" si="166"/>
        <v>99.0358569375</v>
      </c>
      <c r="K248" s="170">
        <v>48.89</v>
      </c>
      <c r="L248" s="131">
        <f t="shared" si="167"/>
        <v>4841.8630456743749</v>
      </c>
      <c r="M248" s="150">
        <v>1.2104000000000001</v>
      </c>
      <c r="N248" s="132">
        <f t="shared" si="168"/>
        <v>4965.4844400000011</v>
      </c>
      <c r="O248" s="174">
        <f t="shared" si="169"/>
        <v>9807.347485674376</v>
      </c>
      <c r="P248" s="128"/>
      <c r="V248" s="3"/>
      <c r="W248" s="150"/>
    </row>
    <row r="249" spans="1:23" ht="15.75" x14ac:dyDescent="0.2">
      <c r="A249" s="124" t="str">
        <f t="shared" si="144"/>
        <v/>
      </c>
      <c r="B249" s="175"/>
      <c r="C249" s="175"/>
      <c r="D249" s="177"/>
      <c r="E249" s="178"/>
      <c r="F249" s="173"/>
      <c r="G249" s="172"/>
      <c r="H249" s="6"/>
      <c r="I249" s="3"/>
      <c r="J249" s="3"/>
      <c r="K249" s="147"/>
      <c r="L249" s="131"/>
      <c r="M249" s="131"/>
      <c r="N249" s="132"/>
      <c r="O249" s="174"/>
      <c r="P249" s="128"/>
      <c r="V249" s="3"/>
      <c r="W249" s="150"/>
    </row>
    <row r="250" spans="1:23" ht="18" customHeight="1" x14ac:dyDescent="0.2">
      <c r="A250" s="124" t="str">
        <f t="shared" si="144"/>
        <v/>
      </c>
      <c r="B250" s="175"/>
      <c r="C250" s="175"/>
      <c r="D250" s="180" t="s">
        <v>143</v>
      </c>
      <c r="E250" s="178"/>
      <c r="F250" s="173"/>
      <c r="G250" s="172"/>
      <c r="H250" s="6"/>
      <c r="I250" s="3"/>
      <c r="J250" s="3"/>
      <c r="K250" s="147"/>
      <c r="L250" s="131"/>
      <c r="M250" s="131"/>
      <c r="N250" s="132"/>
      <c r="O250" s="174"/>
      <c r="P250" s="128"/>
      <c r="V250" s="3"/>
      <c r="W250" s="150"/>
    </row>
    <row r="251" spans="1:23" ht="15.75" x14ac:dyDescent="0.2">
      <c r="A251" s="124" t="str">
        <f t="shared" si="144"/>
        <v/>
      </c>
      <c r="B251" s="175"/>
      <c r="C251" s="175"/>
      <c r="D251" s="177"/>
      <c r="E251" s="178"/>
      <c r="F251" s="173"/>
      <c r="G251" s="172"/>
      <c r="H251" s="6"/>
      <c r="I251" s="3"/>
      <c r="J251" s="3"/>
      <c r="K251" s="147"/>
      <c r="L251" s="131"/>
      <c r="M251" s="131"/>
      <c r="N251" s="132"/>
      <c r="O251" s="174"/>
      <c r="P251" s="128"/>
      <c r="V251" s="3"/>
      <c r="W251" s="150"/>
    </row>
    <row r="252" spans="1:23" ht="18.75" x14ac:dyDescent="0.2">
      <c r="A252" s="124" t="str">
        <f t="shared" si="144"/>
        <v/>
      </c>
      <c r="B252" s="175"/>
      <c r="C252" s="175"/>
      <c r="D252" s="179" t="s">
        <v>186</v>
      </c>
      <c r="E252" s="178"/>
      <c r="F252" s="173"/>
      <c r="G252" s="172"/>
      <c r="H252" s="6"/>
      <c r="I252" s="3"/>
      <c r="J252" s="3"/>
      <c r="K252" s="147"/>
      <c r="L252" s="131"/>
      <c r="M252" s="131"/>
      <c r="N252" s="132"/>
      <c r="O252" s="174"/>
      <c r="P252" s="128"/>
      <c r="V252" s="3"/>
      <c r="W252" s="150"/>
    </row>
    <row r="253" spans="1:23" ht="31.5" x14ac:dyDescent="0.2">
      <c r="A253" s="124">
        <f t="shared" si="144"/>
        <v>119</v>
      </c>
      <c r="B253" s="175" t="s">
        <v>164</v>
      </c>
      <c r="C253" s="175" t="s">
        <v>167</v>
      </c>
      <c r="D253" s="177" t="s">
        <v>165</v>
      </c>
      <c r="E253" s="178">
        <f>172.26</f>
        <v>172.26</v>
      </c>
      <c r="F253" s="173">
        <v>0.05</v>
      </c>
      <c r="G253" s="172">
        <f t="shared" ref="G253:G256" si="170">E253+(E253*F253)</f>
        <v>180.87299999999999</v>
      </c>
      <c r="H253" s="6" t="s">
        <v>120</v>
      </c>
      <c r="I253" s="3">
        <v>4.2831249999999994E-2</v>
      </c>
      <c r="J253" s="3">
        <f t="shared" ref="J253:J256" si="171">I253*G253</f>
        <v>7.747016681249999</v>
      </c>
      <c r="K253" s="170">
        <v>48.89</v>
      </c>
      <c r="L253" s="150">
        <f t="shared" ref="L253:L256" si="172">K253*J253</f>
        <v>378.75164554631243</v>
      </c>
      <c r="M253" s="150">
        <v>3.1817500000000001</v>
      </c>
      <c r="N253" s="171">
        <f t="shared" ref="N253:N256" si="173">M253*G253</f>
        <v>575.49266775000001</v>
      </c>
      <c r="O253" s="174">
        <f t="shared" ref="O253:O256" si="174">L253+N253</f>
        <v>954.24431329631238</v>
      </c>
      <c r="P253" s="128"/>
      <c r="V253" s="3"/>
      <c r="W253" s="150"/>
    </row>
    <row r="254" spans="1:23" ht="18" customHeight="1" x14ac:dyDescent="0.2">
      <c r="A254" s="124">
        <f t="shared" si="144"/>
        <v>120</v>
      </c>
      <c r="B254" s="175" t="s">
        <v>164</v>
      </c>
      <c r="C254" s="175" t="s">
        <v>167</v>
      </c>
      <c r="D254" s="177" t="s">
        <v>191</v>
      </c>
      <c r="E254" s="178">
        <f>172.26</f>
        <v>172.26</v>
      </c>
      <c r="F254" s="173">
        <v>0.05</v>
      </c>
      <c r="G254" s="172">
        <f t="shared" si="170"/>
        <v>180.87299999999999</v>
      </c>
      <c r="H254" s="6" t="s">
        <v>120</v>
      </c>
      <c r="I254" s="3">
        <v>2.0247499999999998E-2</v>
      </c>
      <c r="J254" s="3">
        <f t="shared" si="171"/>
        <v>3.6622260674999993</v>
      </c>
      <c r="K254" s="170">
        <v>48.89</v>
      </c>
      <c r="L254" s="150">
        <f t="shared" si="172"/>
        <v>179.04623244007496</v>
      </c>
      <c r="M254" s="150">
        <v>1.4062000000000001</v>
      </c>
      <c r="N254" s="171">
        <f t="shared" si="173"/>
        <v>254.3436126</v>
      </c>
      <c r="O254" s="174">
        <f t="shared" si="174"/>
        <v>433.38984504007499</v>
      </c>
      <c r="P254" s="128"/>
      <c r="V254" s="3"/>
      <c r="W254" s="150"/>
    </row>
    <row r="255" spans="1:23" ht="47.25" x14ac:dyDescent="0.2">
      <c r="A255" s="124">
        <f t="shared" si="144"/>
        <v>121</v>
      </c>
      <c r="B255" s="175" t="s">
        <v>164</v>
      </c>
      <c r="C255" s="175" t="s">
        <v>167</v>
      </c>
      <c r="D255" s="177" t="s">
        <v>273</v>
      </c>
      <c r="E255" s="178">
        <f>E254*3</f>
        <v>516.78</v>
      </c>
      <c r="F255" s="173">
        <v>0.05</v>
      </c>
      <c r="G255" s="172">
        <f t="shared" si="170"/>
        <v>542.61899999999991</v>
      </c>
      <c r="H255" s="6" t="s">
        <v>120</v>
      </c>
      <c r="I255" s="3">
        <v>2.414125E-2</v>
      </c>
      <c r="J255" s="3">
        <f t="shared" si="171"/>
        <v>13.099500933749997</v>
      </c>
      <c r="K255" s="170">
        <v>45.89</v>
      </c>
      <c r="L255" s="150">
        <f t="shared" si="172"/>
        <v>601.13609784978735</v>
      </c>
      <c r="M255" s="150">
        <v>2.0024999999999999</v>
      </c>
      <c r="N255" s="171">
        <f t="shared" si="173"/>
        <v>1086.5945474999999</v>
      </c>
      <c r="O255" s="174">
        <f t="shared" si="174"/>
        <v>1687.7306453497872</v>
      </c>
      <c r="P255" s="128"/>
      <c r="V255" s="3"/>
      <c r="W255" s="150"/>
    </row>
    <row r="256" spans="1:23" ht="47.25" x14ac:dyDescent="0.2">
      <c r="A256" s="124">
        <f t="shared" si="144"/>
        <v>122</v>
      </c>
      <c r="B256" s="175" t="s">
        <v>164</v>
      </c>
      <c r="C256" s="175" t="s">
        <v>166</v>
      </c>
      <c r="D256" s="177" t="s">
        <v>127</v>
      </c>
      <c r="E256" s="178">
        <f>172.26</f>
        <v>172.26</v>
      </c>
      <c r="F256" s="173">
        <v>0.05</v>
      </c>
      <c r="G256" s="172">
        <f t="shared" si="170"/>
        <v>180.87299999999999</v>
      </c>
      <c r="H256" s="6" t="s">
        <v>120</v>
      </c>
      <c r="I256" s="3">
        <v>2.414125E-2</v>
      </c>
      <c r="J256" s="3">
        <f t="shared" si="171"/>
        <v>4.3665003112499994</v>
      </c>
      <c r="K256" s="170">
        <v>48.89</v>
      </c>
      <c r="L256" s="131">
        <f t="shared" si="172"/>
        <v>213.47820021701247</v>
      </c>
      <c r="M256" s="150">
        <v>1.2104000000000001</v>
      </c>
      <c r="N256" s="132">
        <f t="shared" si="173"/>
        <v>218.9286792</v>
      </c>
      <c r="O256" s="174">
        <f t="shared" si="174"/>
        <v>432.40687941701248</v>
      </c>
      <c r="P256" s="128"/>
      <c r="V256" s="3"/>
      <c r="W256" s="150"/>
    </row>
    <row r="257" spans="1:23" ht="15.75" x14ac:dyDescent="0.2">
      <c r="A257" s="124" t="str">
        <f t="shared" si="144"/>
        <v/>
      </c>
      <c r="B257" s="175"/>
      <c r="C257" s="175"/>
      <c r="D257" s="177"/>
      <c r="E257" s="178"/>
      <c r="F257" s="173"/>
      <c r="G257" s="172"/>
      <c r="H257" s="6"/>
      <c r="I257" s="3"/>
      <c r="J257" s="3"/>
      <c r="K257" s="147"/>
      <c r="L257" s="131"/>
      <c r="M257" s="131"/>
      <c r="N257" s="132"/>
      <c r="O257" s="174"/>
      <c r="P257" s="128"/>
      <c r="V257" s="3"/>
      <c r="W257" s="150"/>
    </row>
    <row r="258" spans="1:23" ht="18" customHeight="1" x14ac:dyDescent="0.2">
      <c r="A258" s="124" t="str">
        <f t="shared" si="144"/>
        <v/>
      </c>
      <c r="B258" s="175"/>
      <c r="C258" s="175"/>
      <c r="D258" s="180" t="s">
        <v>143</v>
      </c>
      <c r="E258" s="178"/>
      <c r="F258" s="173"/>
      <c r="G258" s="172"/>
      <c r="H258" s="6"/>
      <c r="I258" s="3"/>
      <c r="J258" s="3"/>
      <c r="K258" s="147"/>
      <c r="L258" s="131"/>
      <c r="M258" s="131"/>
      <c r="N258" s="132"/>
      <c r="O258" s="174"/>
      <c r="P258" s="128"/>
      <c r="V258" s="3"/>
      <c r="W258" s="150"/>
    </row>
    <row r="259" spans="1:23" ht="15.75" x14ac:dyDescent="0.2">
      <c r="A259" s="124" t="str">
        <f t="shared" si="144"/>
        <v/>
      </c>
      <c r="B259" s="175"/>
      <c r="C259" s="175"/>
      <c r="D259" s="177"/>
      <c r="E259" s="178"/>
      <c r="F259" s="173"/>
      <c r="G259" s="172"/>
      <c r="H259" s="6"/>
      <c r="I259" s="3"/>
      <c r="J259" s="3"/>
      <c r="K259" s="147"/>
      <c r="L259" s="131"/>
      <c r="M259" s="131"/>
      <c r="N259" s="132"/>
      <c r="O259" s="174"/>
      <c r="P259" s="128"/>
      <c r="V259" s="3"/>
      <c r="W259" s="150"/>
    </row>
    <row r="260" spans="1:23" ht="18.75" x14ac:dyDescent="0.2">
      <c r="A260" s="124" t="str">
        <f t="shared" si="144"/>
        <v/>
      </c>
      <c r="B260" s="175"/>
      <c r="C260" s="175"/>
      <c r="D260" s="179" t="s">
        <v>187</v>
      </c>
      <c r="E260" s="178"/>
      <c r="F260" s="173"/>
      <c r="G260" s="172"/>
      <c r="H260" s="6"/>
      <c r="I260" s="3"/>
      <c r="J260" s="3"/>
      <c r="K260" s="147"/>
      <c r="L260" s="131"/>
      <c r="M260" s="131"/>
      <c r="N260" s="132"/>
      <c r="O260" s="174"/>
      <c r="P260" s="128"/>
      <c r="V260" s="3"/>
      <c r="W260" s="150"/>
    </row>
    <row r="261" spans="1:23" ht="31.5" x14ac:dyDescent="0.2">
      <c r="A261" s="124">
        <f t="shared" si="144"/>
        <v>123</v>
      </c>
      <c r="B261" s="175" t="s">
        <v>164</v>
      </c>
      <c r="C261" s="175" t="s">
        <v>167</v>
      </c>
      <c r="D261" s="177" t="s">
        <v>165</v>
      </c>
      <c r="E261" s="178">
        <f>502.4</f>
        <v>502.4</v>
      </c>
      <c r="F261" s="173">
        <v>0.05</v>
      </c>
      <c r="G261" s="172">
        <f t="shared" ref="G261:G263" si="175">E261+(E261*F261)</f>
        <v>527.52</v>
      </c>
      <c r="H261" s="6" t="s">
        <v>120</v>
      </c>
      <c r="I261" s="3">
        <v>4.2831249999999994E-2</v>
      </c>
      <c r="J261" s="3">
        <f t="shared" ref="J261:J263" si="176">I261*G261</f>
        <v>22.594340999999996</v>
      </c>
      <c r="K261" s="170">
        <v>48.89</v>
      </c>
      <c r="L261" s="150">
        <f t="shared" ref="L261:L263" si="177">K261*J261</f>
        <v>1104.63733149</v>
      </c>
      <c r="M261" s="150">
        <v>3.1817500000000001</v>
      </c>
      <c r="N261" s="171">
        <f t="shared" ref="N261:N263" si="178">M261*G261</f>
        <v>1678.43676</v>
      </c>
      <c r="O261" s="174">
        <f t="shared" ref="O261:O263" si="179">L261+N261</f>
        <v>2783.0740914899998</v>
      </c>
      <c r="P261" s="128"/>
      <c r="V261" s="3"/>
      <c r="W261" s="150"/>
    </row>
    <row r="262" spans="1:23" ht="31.5" x14ac:dyDescent="0.2">
      <c r="A262" s="124">
        <f t="shared" si="144"/>
        <v>124</v>
      </c>
      <c r="B262" s="175" t="s">
        <v>164</v>
      </c>
      <c r="C262" s="175" t="s">
        <v>167</v>
      </c>
      <c r="D262" s="177" t="s">
        <v>190</v>
      </c>
      <c r="E262" s="178">
        <f>502.4</f>
        <v>502.4</v>
      </c>
      <c r="F262" s="173">
        <v>0.05</v>
      </c>
      <c r="G262" s="172">
        <f t="shared" si="175"/>
        <v>527.52</v>
      </c>
      <c r="H262" s="6" t="s">
        <v>120</v>
      </c>
      <c r="I262" s="3">
        <v>2.414125E-2</v>
      </c>
      <c r="J262" s="3">
        <f t="shared" si="176"/>
        <v>12.734992199999999</v>
      </c>
      <c r="K262" s="170">
        <v>45.89</v>
      </c>
      <c r="L262" s="150">
        <f t="shared" si="177"/>
        <v>584.4087920579999</v>
      </c>
      <c r="M262" s="150">
        <v>2.0024999999999999</v>
      </c>
      <c r="N262" s="171">
        <f t="shared" si="178"/>
        <v>1056.3588</v>
      </c>
      <c r="O262" s="174">
        <f t="shared" si="179"/>
        <v>1640.767592058</v>
      </c>
      <c r="P262" s="128"/>
      <c r="V262" s="3"/>
      <c r="W262" s="150"/>
    </row>
    <row r="263" spans="1:23" ht="47.25" x14ac:dyDescent="0.2">
      <c r="A263" s="124">
        <f t="shared" si="144"/>
        <v>125</v>
      </c>
      <c r="B263" s="175" t="s">
        <v>164</v>
      </c>
      <c r="C263" s="175" t="s">
        <v>166</v>
      </c>
      <c r="D263" s="177" t="s">
        <v>127</v>
      </c>
      <c r="E263" s="178">
        <f>502.4</f>
        <v>502.4</v>
      </c>
      <c r="F263" s="173">
        <v>0.05</v>
      </c>
      <c r="G263" s="172">
        <f t="shared" si="175"/>
        <v>527.52</v>
      </c>
      <c r="H263" s="6" t="s">
        <v>120</v>
      </c>
      <c r="I263" s="3">
        <v>2.414125E-2</v>
      </c>
      <c r="J263" s="3">
        <f t="shared" si="176"/>
        <v>12.734992199999999</v>
      </c>
      <c r="K263" s="170">
        <v>48.89</v>
      </c>
      <c r="L263" s="131">
        <f t="shared" si="177"/>
        <v>622.61376865799991</v>
      </c>
      <c r="M263" s="150">
        <v>1.2104000000000001</v>
      </c>
      <c r="N263" s="132">
        <f t="shared" si="178"/>
        <v>638.51020800000003</v>
      </c>
      <c r="O263" s="174">
        <f t="shared" si="179"/>
        <v>1261.1239766579999</v>
      </c>
      <c r="P263" s="128"/>
      <c r="V263" s="3"/>
      <c r="W263" s="150"/>
    </row>
    <row r="264" spans="1:23" ht="15.75" x14ac:dyDescent="0.2">
      <c r="A264" s="124" t="str">
        <f t="shared" si="144"/>
        <v/>
      </c>
      <c r="B264" s="175"/>
      <c r="C264" s="175"/>
      <c r="D264" s="177"/>
      <c r="E264" s="178"/>
      <c r="F264" s="173"/>
      <c r="G264" s="172"/>
      <c r="H264" s="6"/>
      <c r="I264" s="3"/>
      <c r="J264" s="3"/>
      <c r="K264" s="147"/>
      <c r="L264" s="131"/>
      <c r="M264" s="131"/>
      <c r="N264" s="132"/>
      <c r="O264" s="174"/>
      <c r="P264" s="128"/>
      <c r="V264" s="3"/>
      <c r="W264" s="150"/>
    </row>
    <row r="265" spans="1:23" ht="18" customHeight="1" x14ac:dyDescent="0.2">
      <c r="A265" s="124" t="str">
        <f t="shared" si="144"/>
        <v/>
      </c>
      <c r="B265" s="175"/>
      <c r="C265" s="175"/>
      <c r="D265" s="180" t="s">
        <v>143</v>
      </c>
      <c r="E265" s="178"/>
      <c r="F265" s="173"/>
      <c r="G265" s="172"/>
      <c r="H265" s="6"/>
      <c r="I265" s="3"/>
      <c r="J265" s="3"/>
      <c r="K265" s="147"/>
      <c r="L265" s="131"/>
      <c r="M265" s="131"/>
      <c r="N265" s="132"/>
      <c r="O265" s="174"/>
      <c r="P265" s="128"/>
      <c r="V265" s="3"/>
      <c r="W265" s="150"/>
    </row>
    <row r="266" spans="1:23" ht="15.75" x14ac:dyDescent="0.2">
      <c r="A266" s="124" t="str">
        <f t="shared" si="144"/>
        <v/>
      </c>
      <c r="B266" s="175"/>
      <c r="C266" s="175"/>
      <c r="D266" s="177"/>
      <c r="E266" s="178"/>
      <c r="F266" s="173"/>
      <c r="G266" s="172"/>
      <c r="H266" s="6"/>
      <c r="I266" s="3"/>
      <c r="J266" s="3"/>
      <c r="K266" s="147"/>
      <c r="L266" s="131"/>
      <c r="M266" s="131"/>
      <c r="N266" s="132"/>
      <c r="O266" s="174"/>
      <c r="P266" s="128"/>
      <c r="V266" s="3"/>
      <c r="W266" s="150"/>
    </row>
    <row r="267" spans="1:23" ht="18.75" x14ac:dyDescent="0.2">
      <c r="A267" s="124" t="str">
        <f t="shared" si="144"/>
        <v/>
      </c>
      <c r="B267" s="175"/>
      <c r="C267" s="175"/>
      <c r="D267" s="179" t="s">
        <v>192</v>
      </c>
      <c r="E267" s="178"/>
      <c r="F267" s="173"/>
      <c r="G267" s="172"/>
      <c r="H267" s="6"/>
      <c r="I267" s="3"/>
      <c r="J267" s="3"/>
      <c r="K267" s="147"/>
      <c r="L267" s="131"/>
      <c r="M267" s="131"/>
      <c r="N267" s="132"/>
      <c r="O267" s="174"/>
      <c r="P267" s="128"/>
      <c r="V267" s="3"/>
      <c r="W267" s="150"/>
    </row>
    <row r="268" spans="1:23" ht="31.5" x14ac:dyDescent="0.2">
      <c r="A268" s="124">
        <f t="shared" si="144"/>
        <v>126</v>
      </c>
      <c r="B268" s="175" t="s">
        <v>164</v>
      </c>
      <c r="C268" s="175" t="s">
        <v>167</v>
      </c>
      <c r="D268" s="177" t="s">
        <v>193</v>
      </c>
      <c r="E268" s="178">
        <f>4084.27</f>
        <v>4084.27</v>
      </c>
      <c r="F268" s="173">
        <v>0.05</v>
      </c>
      <c r="G268" s="172">
        <f t="shared" ref="G268:G271" si="180">E268+(E268*F268)</f>
        <v>4288.4835000000003</v>
      </c>
      <c r="H268" s="6" t="s">
        <v>120</v>
      </c>
      <c r="I268" s="3">
        <v>4.2831249999999994E-2</v>
      </c>
      <c r="J268" s="3">
        <f t="shared" ref="J268:J271" si="181">I268*G268</f>
        <v>183.68110890937498</v>
      </c>
      <c r="K268" s="170">
        <v>48.89</v>
      </c>
      <c r="L268" s="150">
        <f t="shared" ref="L268:L271" si="182">K268*J268</f>
        <v>8980.1694145793426</v>
      </c>
      <c r="M268" s="150">
        <v>3.1817500000000001</v>
      </c>
      <c r="N268" s="171">
        <f t="shared" ref="N268:N271" si="183">M268*G268</f>
        <v>13644.882376125001</v>
      </c>
      <c r="O268" s="174">
        <f t="shared" ref="O268:O271" si="184">L268+N268</f>
        <v>22625.051790704343</v>
      </c>
      <c r="P268" s="128"/>
      <c r="V268" s="3"/>
      <c r="W268" s="150"/>
    </row>
    <row r="269" spans="1:23" ht="15.75" x14ac:dyDescent="0.2">
      <c r="A269" s="124">
        <f t="shared" si="144"/>
        <v>127</v>
      </c>
      <c r="B269" s="175" t="s">
        <v>164</v>
      </c>
      <c r="C269" s="175" t="s">
        <v>167</v>
      </c>
      <c r="D269" s="177" t="s">
        <v>191</v>
      </c>
      <c r="E269" s="178">
        <f>4084.27</f>
        <v>4084.27</v>
      </c>
      <c r="F269" s="173">
        <v>0.05</v>
      </c>
      <c r="G269" s="172">
        <f t="shared" si="180"/>
        <v>4288.4835000000003</v>
      </c>
      <c r="H269" s="6" t="s">
        <v>120</v>
      </c>
      <c r="I269" s="3">
        <v>2.0247499999999998E-2</v>
      </c>
      <c r="J269" s="3">
        <f t="shared" si="181"/>
        <v>86.831069666250002</v>
      </c>
      <c r="K269" s="170">
        <v>48.89</v>
      </c>
      <c r="L269" s="150">
        <f t="shared" si="182"/>
        <v>4245.1709959829623</v>
      </c>
      <c r="M269" s="150">
        <v>1.4062000000000001</v>
      </c>
      <c r="N269" s="171">
        <f t="shared" si="183"/>
        <v>6030.4654977000009</v>
      </c>
      <c r="O269" s="174">
        <f t="shared" si="184"/>
        <v>10275.636493682963</v>
      </c>
      <c r="P269" s="128"/>
      <c r="V269" s="3"/>
      <c r="W269" s="150"/>
    </row>
    <row r="270" spans="1:23" ht="47.25" x14ac:dyDescent="0.2">
      <c r="A270" s="124">
        <f t="shared" si="144"/>
        <v>128</v>
      </c>
      <c r="B270" s="175" t="s">
        <v>164</v>
      </c>
      <c r="C270" s="175" t="s">
        <v>167</v>
      </c>
      <c r="D270" s="177" t="s">
        <v>273</v>
      </c>
      <c r="E270" s="178">
        <f>E269*3</f>
        <v>12252.81</v>
      </c>
      <c r="F270" s="173">
        <v>0.05</v>
      </c>
      <c r="G270" s="172">
        <f t="shared" si="180"/>
        <v>12865.450499999999</v>
      </c>
      <c r="H270" s="6" t="s">
        <v>120</v>
      </c>
      <c r="I270" s="3">
        <v>2.414125E-2</v>
      </c>
      <c r="J270" s="3">
        <f t="shared" si="181"/>
        <v>310.58805688312498</v>
      </c>
      <c r="K270" s="170">
        <v>45.89</v>
      </c>
      <c r="L270" s="150">
        <f t="shared" si="182"/>
        <v>14252.885930366605</v>
      </c>
      <c r="M270" s="150">
        <v>2.0024999999999999</v>
      </c>
      <c r="N270" s="171">
        <f t="shared" si="183"/>
        <v>25763.064626249998</v>
      </c>
      <c r="O270" s="174">
        <f t="shared" si="184"/>
        <v>40015.950556616604</v>
      </c>
      <c r="P270" s="128"/>
      <c r="V270" s="3"/>
      <c r="W270" s="150"/>
    </row>
    <row r="271" spans="1:23" ht="47.25" x14ac:dyDescent="0.2">
      <c r="A271" s="124">
        <f t="shared" si="144"/>
        <v>129</v>
      </c>
      <c r="B271" s="175" t="s">
        <v>164</v>
      </c>
      <c r="C271" s="175" t="s">
        <v>166</v>
      </c>
      <c r="D271" s="177" t="s">
        <v>127</v>
      </c>
      <c r="E271" s="178">
        <f>4084.27</f>
        <v>4084.27</v>
      </c>
      <c r="F271" s="173">
        <v>0.05</v>
      </c>
      <c r="G271" s="172">
        <f t="shared" si="180"/>
        <v>4288.4835000000003</v>
      </c>
      <c r="H271" s="6" t="s">
        <v>120</v>
      </c>
      <c r="I271" s="3">
        <v>2.414125E-2</v>
      </c>
      <c r="J271" s="3">
        <f t="shared" si="181"/>
        <v>103.529352294375</v>
      </c>
      <c r="K271" s="170">
        <v>48.89</v>
      </c>
      <c r="L271" s="131">
        <f t="shared" si="182"/>
        <v>5061.5500336719942</v>
      </c>
      <c r="M271" s="150">
        <v>1.2104000000000001</v>
      </c>
      <c r="N271" s="132">
        <f t="shared" si="183"/>
        <v>5190.7804284000013</v>
      </c>
      <c r="O271" s="174">
        <f t="shared" si="184"/>
        <v>10252.330462071995</v>
      </c>
      <c r="P271" s="128"/>
      <c r="V271" s="3"/>
      <c r="W271" s="150"/>
    </row>
    <row r="272" spans="1:23" ht="15.75" x14ac:dyDescent="0.2">
      <c r="A272" s="124" t="str">
        <f t="shared" si="144"/>
        <v/>
      </c>
      <c r="B272" s="175"/>
      <c r="C272" s="175"/>
      <c r="D272" s="177"/>
      <c r="E272" s="178"/>
      <c r="F272" s="173"/>
      <c r="G272" s="172"/>
      <c r="H272" s="6"/>
      <c r="I272" s="3"/>
      <c r="J272" s="3"/>
      <c r="K272" s="147"/>
      <c r="L272" s="131"/>
      <c r="M272" s="131"/>
      <c r="N272" s="132"/>
      <c r="O272" s="174"/>
      <c r="P272" s="128"/>
      <c r="V272" s="3"/>
      <c r="W272" s="150"/>
    </row>
    <row r="273" spans="1:23" ht="18" customHeight="1" x14ac:dyDescent="0.2">
      <c r="A273" s="124" t="str">
        <f t="shared" si="144"/>
        <v/>
      </c>
      <c r="B273" s="175"/>
      <c r="C273" s="175"/>
      <c r="D273" s="180" t="s">
        <v>143</v>
      </c>
      <c r="E273" s="178"/>
      <c r="F273" s="173"/>
      <c r="G273" s="172"/>
      <c r="H273" s="6"/>
      <c r="I273" s="3"/>
      <c r="J273" s="3"/>
      <c r="K273" s="147"/>
      <c r="L273" s="131"/>
      <c r="M273" s="131"/>
      <c r="N273" s="132"/>
      <c r="O273" s="174"/>
      <c r="P273" s="128"/>
      <c r="V273" s="3"/>
      <c r="W273" s="150"/>
    </row>
    <row r="274" spans="1:23" ht="15.75" x14ac:dyDescent="0.2">
      <c r="A274" s="124" t="str">
        <f t="shared" ref="A274:A337" si="185">IF(H274&lt;&gt;"",1+MAX(A264:A273),"")</f>
        <v/>
      </c>
      <c r="B274" s="175"/>
      <c r="C274" s="175"/>
      <c r="D274" s="177"/>
      <c r="E274" s="178"/>
      <c r="F274" s="173"/>
      <c r="G274" s="172"/>
      <c r="H274" s="6"/>
      <c r="I274" s="3"/>
      <c r="J274" s="3"/>
      <c r="K274" s="147"/>
      <c r="L274" s="131"/>
      <c r="M274" s="131"/>
      <c r="N274" s="132"/>
      <c r="O274" s="174"/>
      <c r="P274" s="128"/>
      <c r="V274" s="3"/>
      <c r="W274" s="150"/>
    </row>
    <row r="275" spans="1:23" ht="18.75" x14ac:dyDescent="0.2">
      <c r="A275" s="124" t="str">
        <f t="shared" si="185"/>
        <v/>
      </c>
      <c r="B275" s="175"/>
      <c r="C275" s="175"/>
      <c r="D275" s="179" t="s">
        <v>129</v>
      </c>
      <c r="E275" s="178"/>
      <c r="F275" s="173"/>
      <c r="G275" s="172"/>
      <c r="H275" s="6"/>
      <c r="I275" s="3"/>
      <c r="J275" s="3"/>
      <c r="K275" s="147"/>
      <c r="L275" s="131"/>
      <c r="M275" s="131"/>
      <c r="N275" s="132"/>
      <c r="O275" s="174"/>
      <c r="P275" s="128"/>
      <c r="V275" s="3"/>
      <c r="W275" s="150"/>
    </row>
    <row r="276" spans="1:23" ht="18" customHeight="1" x14ac:dyDescent="0.2">
      <c r="A276" s="124">
        <f t="shared" si="185"/>
        <v>130</v>
      </c>
      <c r="B276" s="175" t="s">
        <v>164</v>
      </c>
      <c r="C276" s="175" t="s">
        <v>164</v>
      </c>
      <c r="D276" s="177" t="s">
        <v>123</v>
      </c>
      <c r="E276" s="178">
        <v>8341.94</v>
      </c>
      <c r="F276" s="173">
        <v>0.05</v>
      </c>
      <c r="G276" s="172">
        <f t="shared" ref="G276" si="186">E276+(E276*F276)</f>
        <v>8759.0370000000003</v>
      </c>
      <c r="H276" s="6" t="s">
        <v>120</v>
      </c>
      <c r="I276" s="3">
        <v>2.0247499999999998E-2</v>
      </c>
      <c r="J276" s="3">
        <f t="shared" ref="J276" si="187">I276*G276</f>
        <v>177.34860165749998</v>
      </c>
      <c r="K276" s="170">
        <v>48.89</v>
      </c>
      <c r="L276" s="150">
        <f t="shared" ref="L276" si="188">K276*J276</f>
        <v>8670.5731350351743</v>
      </c>
      <c r="M276" s="150">
        <v>1.5041000000000002</v>
      </c>
      <c r="N276" s="171">
        <f t="shared" ref="N276" si="189">M276*G276</f>
        <v>13174.467551700001</v>
      </c>
      <c r="O276" s="174">
        <f t="shared" ref="O276" si="190">L276+N276</f>
        <v>21845.040686735178</v>
      </c>
      <c r="P276" s="128"/>
      <c r="V276" s="3"/>
      <c r="W276" s="150"/>
    </row>
    <row r="277" spans="1:23" ht="15.75" x14ac:dyDescent="0.2">
      <c r="A277" s="124" t="str">
        <f t="shared" si="185"/>
        <v/>
      </c>
      <c r="B277" s="175"/>
      <c r="C277" s="175"/>
      <c r="D277" s="177" t="s">
        <v>121</v>
      </c>
      <c r="E277" s="178"/>
      <c r="F277" s="173"/>
      <c r="G277" s="172"/>
      <c r="H277" s="6"/>
      <c r="I277" s="3"/>
      <c r="J277" s="3"/>
      <c r="K277" s="147"/>
      <c r="L277" s="131"/>
      <c r="M277" s="131"/>
      <c r="N277" s="132"/>
      <c r="O277" s="174"/>
      <c r="P277" s="128"/>
      <c r="V277" s="3"/>
      <c r="W277" s="150"/>
    </row>
    <row r="278" spans="1:23" ht="18.75" x14ac:dyDescent="0.2">
      <c r="A278" s="124" t="str">
        <f t="shared" si="185"/>
        <v/>
      </c>
      <c r="B278" s="175"/>
      <c r="C278" s="175"/>
      <c r="D278" s="179" t="s">
        <v>141</v>
      </c>
      <c r="E278" s="178"/>
      <c r="F278" s="173"/>
      <c r="G278" s="172"/>
      <c r="H278" s="6"/>
      <c r="I278" s="3"/>
      <c r="J278" s="3"/>
      <c r="K278" s="147"/>
      <c r="L278" s="131"/>
      <c r="M278" s="131"/>
      <c r="N278" s="132"/>
      <c r="O278" s="174"/>
      <c r="P278" s="128"/>
      <c r="V278" s="3"/>
      <c r="W278" s="150"/>
    </row>
    <row r="279" spans="1:23" ht="78.75" x14ac:dyDescent="0.2">
      <c r="A279" s="124">
        <f t="shared" si="185"/>
        <v>131</v>
      </c>
      <c r="B279" s="175" t="s">
        <v>164</v>
      </c>
      <c r="C279" s="175" t="s">
        <v>164</v>
      </c>
      <c r="D279" s="177" t="s">
        <v>194</v>
      </c>
      <c r="E279" s="178">
        <v>7193.16</v>
      </c>
      <c r="F279" s="173">
        <v>0.05</v>
      </c>
      <c r="G279" s="172">
        <f t="shared" ref="G279" si="191">E279+(E279*F279)</f>
        <v>7552.8180000000002</v>
      </c>
      <c r="H279" s="6" t="s">
        <v>120</v>
      </c>
      <c r="I279" s="3">
        <v>7.3981249999999998E-2</v>
      </c>
      <c r="J279" s="3">
        <f t="shared" ref="J279" si="192">I279*G279</f>
        <v>558.76691666249997</v>
      </c>
      <c r="K279" s="170">
        <v>48.89</v>
      </c>
      <c r="L279" s="150">
        <f t="shared" ref="L279" si="193">K279*J279</f>
        <v>27318.114555629625</v>
      </c>
      <c r="M279" s="150">
        <v>5.5891999999999999</v>
      </c>
      <c r="N279" s="171">
        <f t="shared" ref="N279" si="194">M279*G279</f>
        <v>42214.210365600004</v>
      </c>
      <c r="O279" s="174">
        <f t="shared" ref="O279" si="195">L279+N279</f>
        <v>69532.324921229621</v>
      </c>
      <c r="P279" s="128"/>
      <c r="V279" s="3"/>
      <c r="W279" s="150"/>
    </row>
    <row r="280" spans="1:23" ht="15.75" x14ac:dyDescent="0.2">
      <c r="A280" s="124" t="str">
        <f t="shared" si="185"/>
        <v/>
      </c>
      <c r="B280" s="175"/>
      <c r="C280" s="175"/>
      <c r="D280" s="177" t="s">
        <v>121</v>
      </c>
      <c r="E280" s="178"/>
      <c r="F280" s="173"/>
      <c r="G280" s="172"/>
      <c r="H280" s="6"/>
      <c r="I280" s="3"/>
      <c r="J280" s="3"/>
      <c r="K280" s="147"/>
      <c r="L280" s="131"/>
      <c r="M280" s="131"/>
      <c r="N280" s="132"/>
      <c r="O280" s="174"/>
      <c r="P280" s="128"/>
      <c r="V280" s="3"/>
      <c r="W280" s="150"/>
    </row>
    <row r="281" spans="1:23" ht="18.75" x14ac:dyDescent="0.2">
      <c r="A281" s="124" t="str">
        <f t="shared" si="185"/>
        <v/>
      </c>
      <c r="B281" s="175"/>
      <c r="C281" s="175"/>
      <c r="D281" s="179" t="s">
        <v>132</v>
      </c>
      <c r="E281" s="178"/>
      <c r="F281" s="173"/>
      <c r="G281" s="172"/>
      <c r="H281" s="6"/>
      <c r="I281" s="3"/>
      <c r="J281" s="3"/>
      <c r="K281" s="147"/>
      <c r="L281" s="131"/>
      <c r="M281" s="131"/>
      <c r="N281" s="132"/>
      <c r="O281" s="174"/>
      <c r="P281" s="128"/>
      <c r="V281" s="3"/>
      <c r="W281" s="150"/>
    </row>
    <row r="282" spans="1:23" ht="18" customHeight="1" x14ac:dyDescent="0.2">
      <c r="A282" s="124">
        <f t="shared" si="185"/>
        <v>132</v>
      </c>
      <c r="B282" s="175" t="s">
        <v>197</v>
      </c>
      <c r="C282" s="6" t="s">
        <v>196</v>
      </c>
      <c r="D282" s="177" t="s">
        <v>195</v>
      </c>
      <c r="E282" s="178">
        <f>(794.61+137.07+31.04)</f>
        <v>962.72</v>
      </c>
      <c r="F282" s="173">
        <v>0.05</v>
      </c>
      <c r="G282" s="172">
        <f t="shared" ref="G282:G289" si="196">E282+(E282*F282)</f>
        <v>1010.856</v>
      </c>
      <c r="H282" s="6" t="s">
        <v>119</v>
      </c>
      <c r="I282" s="3">
        <v>9.3449999999999991E-2</v>
      </c>
      <c r="J282" s="3">
        <f t="shared" ref="J282:J287" si="197">I282*G282</f>
        <v>94.464493199999993</v>
      </c>
      <c r="K282" s="170">
        <v>48.89</v>
      </c>
      <c r="L282" s="150">
        <f t="shared" ref="L282:L287" si="198">K282*J282</f>
        <v>4618.3690725480001</v>
      </c>
      <c r="M282" s="150">
        <v>6.9420000000000011</v>
      </c>
      <c r="N282" s="171">
        <f t="shared" ref="N282:N287" si="199">M282*G282</f>
        <v>7017.362352000001</v>
      </c>
      <c r="O282" s="174">
        <f t="shared" ref="O282:O287" si="200">L282+N282</f>
        <v>11635.731424548001</v>
      </c>
      <c r="P282" s="128"/>
      <c r="V282" s="3"/>
      <c r="W282" s="150"/>
    </row>
    <row r="283" spans="1:23" ht="18" customHeight="1" x14ac:dyDescent="0.2">
      <c r="A283" s="124">
        <f t="shared" si="185"/>
        <v>133</v>
      </c>
      <c r="B283" s="175" t="s">
        <v>197</v>
      </c>
      <c r="C283" s="175" t="s">
        <v>167</v>
      </c>
      <c r="D283" s="177" t="s">
        <v>208</v>
      </c>
      <c r="E283" s="178">
        <f>(4*2)+(4*4)+(2*8)+(2*12)+(2*12)+(26*14.5)+(4*16)+(4*26)</f>
        <v>633</v>
      </c>
      <c r="F283" s="173">
        <v>0.05</v>
      </c>
      <c r="G283" s="172">
        <f t="shared" si="196"/>
        <v>664.65</v>
      </c>
      <c r="H283" s="6" t="s">
        <v>119</v>
      </c>
      <c r="I283" s="3">
        <v>9.3449999999999991E-2</v>
      </c>
      <c r="J283" s="3">
        <f t="shared" si="197"/>
        <v>62.111542499999992</v>
      </c>
      <c r="K283" s="170">
        <v>48.89</v>
      </c>
      <c r="L283" s="150">
        <f t="shared" si="198"/>
        <v>3036.6333128249998</v>
      </c>
      <c r="M283" s="150">
        <v>8.1167999999999996</v>
      </c>
      <c r="N283" s="171">
        <f t="shared" si="199"/>
        <v>5394.8311199999998</v>
      </c>
      <c r="O283" s="174">
        <f t="shared" si="200"/>
        <v>8431.4644328249997</v>
      </c>
      <c r="P283" s="128"/>
      <c r="V283" s="3"/>
      <c r="W283" s="150"/>
    </row>
    <row r="284" spans="1:23" ht="18" customHeight="1" x14ac:dyDescent="0.2">
      <c r="A284" s="124">
        <f t="shared" si="185"/>
        <v>134</v>
      </c>
      <c r="B284" s="175" t="s">
        <v>197</v>
      </c>
      <c r="C284" s="175" t="s">
        <v>167</v>
      </c>
      <c r="D284" s="177" t="s">
        <v>213</v>
      </c>
      <c r="E284" s="178">
        <v>36</v>
      </c>
      <c r="F284" s="173">
        <v>0</v>
      </c>
      <c r="G284" s="172">
        <f t="shared" ref="G284" si="201">E284+(E284*F284)</f>
        <v>36</v>
      </c>
      <c r="H284" s="6" t="s">
        <v>118</v>
      </c>
      <c r="I284" s="3">
        <v>0.57432590000000006</v>
      </c>
      <c r="J284" s="3">
        <f t="shared" si="197"/>
        <v>20.675732400000001</v>
      </c>
      <c r="K284" s="170">
        <v>48.89</v>
      </c>
      <c r="L284" s="150">
        <f t="shared" si="198"/>
        <v>1010.836557036</v>
      </c>
      <c r="M284" s="150">
        <v>19.2685</v>
      </c>
      <c r="N284" s="171">
        <f t="shared" si="199"/>
        <v>693.66599999999994</v>
      </c>
      <c r="O284" s="174">
        <f t="shared" si="200"/>
        <v>1704.5025570359999</v>
      </c>
      <c r="P284" s="128"/>
      <c r="V284" s="3"/>
      <c r="W284" s="150"/>
    </row>
    <row r="285" spans="1:23" ht="18" customHeight="1" x14ac:dyDescent="0.2">
      <c r="A285" s="124">
        <f t="shared" si="185"/>
        <v>135</v>
      </c>
      <c r="B285" s="175" t="s">
        <v>164</v>
      </c>
      <c r="C285" s="175" t="s">
        <v>216</v>
      </c>
      <c r="D285" s="177" t="s">
        <v>204</v>
      </c>
      <c r="E285" s="178">
        <v>26</v>
      </c>
      <c r="F285" s="173">
        <v>0</v>
      </c>
      <c r="G285" s="172">
        <f t="shared" si="196"/>
        <v>26</v>
      </c>
      <c r="H285" s="6" t="s">
        <v>118</v>
      </c>
      <c r="I285" s="3">
        <v>2.058125</v>
      </c>
      <c r="J285" s="3">
        <f t="shared" si="197"/>
        <v>53.511249999999997</v>
      </c>
      <c r="K285" s="170">
        <v>48.89</v>
      </c>
      <c r="L285" s="150">
        <f t="shared" si="198"/>
        <v>2616.1650125000001</v>
      </c>
      <c r="M285" s="150">
        <v>307.05</v>
      </c>
      <c r="N285" s="171">
        <f t="shared" si="199"/>
        <v>7983.3</v>
      </c>
      <c r="O285" s="174">
        <f t="shared" si="200"/>
        <v>10599.465012500001</v>
      </c>
      <c r="P285" s="128"/>
      <c r="V285" s="3"/>
      <c r="W285" s="150"/>
    </row>
    <row r="286" spans="1:23" ht="18" customHeight="1" x14ac:dyDescent="0.2">
      <c r="A286" s="124">
        <f t="shared" si="185"/>
        <v>136</v>
      </c>
      <c r="B286" s="175" t="s">
        <v>164</v>
      </c>
      <c r="C286" s="175" t="s">
        <v>216</v>
      </c>
      <c r="D286" s="177" t="s">
        <v>206</v>
      </c>
      <c r="E286" s="178">
        <v>8</v>
      </c>
      <c r="F286" s="173">
        <v>0</v>
      </c>
      <c r="G286" s="172">
        <f t="shared" ref="G286" si="202">E286+(E286*F286)</f>
        <v>8</v>
      </c>
      <c r="H286" s="6" t="s">
        <v>118</v>
      </c>
      <c r="I286" s="3">
        <v>2.058125</v>
      </c>
      <c r="J286" s="3">
        <f t="shared" si="197"/>
        <v>16.465</v>
      </c>
      <c r="K286" s="170">
        <v>48.89</v>
      </c>
      <c r="L286" s="150">
        <f t="shared" si="198"/>
        <v>804.97384999999997</v>
      </c>
      <c r="M286" s="150">
        <v>320.39999999999998</v>
      </c>
      <c r="N286" s="171">
        <f t="shared" si="199"/>
        <v>2563.1999999999998</v>
      </c>
      <c r="O286" s="174">
        <f t="shared" si="200"/>
        <v>3368.1738499999997</v>
      </c>
      <c r="P286" s="128"/>
      <c r="V286" s="3"/>
      <c r="W286" s="150"/>
    </row>
    <row r="287" spans="1:23" ht="18" customHeight="1" x14ac:dyDescent="0.2">
      <c r="A287" s="124">
        <f t="shared" si="185"/>
        <v>137</v>
      </c>
      <c r="B287" s="175" t="s">
        <v>164</v>
      </c>
      <c r="C287" s="175" t="s">
        <v>216</v>
      </c>
      <c r="D287" s="177" t="s">
        <v>205</v>
      </c>
      <c r="E287" s="178">
        <v>28</v>
      </c>
      <c r="F287" s="173">
        <v>0</v>
      </c>
      <c r="G287" s="172">
        <f t="shared" si="196"/>
        <v>28</v>
      </c>
      <c r="H287" s="6" t="s">
        <v>118</v>
      </c>
      <c r="I287" s="3">
        <v>2.058125</v>
      </c>
      <c r="J287" s="3">
        <f t="shared" si="197"/>
        <v>57.627499999999998</v>
      </c>
      <c r="K287" s="170">
        <v>48.89</v>
      </c>
      <c r="L287" s="150">
        <f t="shared" si="198"/>
        <v>2817.4084749999997</v>
      </c>
      <c r="M287" s="150">
        <v>342.65</v>
      </c>
      <c r="N287" s="171">
        <f t="shared" si="199"/>
        <v>9594.1999999999989</v>
      </c>
      <c r="O287" s="174">
        <f t="shared" si="200"/>
        <v>12411.608474999999</v>
      </c>
      <c r="P287" s="128"/>
      <c r="V287" s="3"/>
      <c r="W287" s="150"/>
    </row>
    <row r="288" spans="1:23" ht="18" customHeight="1" x14ac:dyDescent="0.2">
      <c r="A288" s="124">
        <f t="shared" si="185"/>
        <v>138</v>
      </c>
      <c r="B288" s="175" t="s">
        <v>164</v>
      </c>
      <c r="C288" s="175" t="s">
        <v>216</v>
      </c>
      <c r="D288" s="177" t="s">
        <v>207</v>
      </c>
      <c r="E288" s="178">
        <v>6</v>
      </c>
      <c r="F288" s="173">
        <v>0</v>
      </c>
      <c r="G288" s="172">
        <f t="shared" ref="G288" si="203">E288+(E288*F288)</f>
        <v>6</v>
      </c>
      <c r="H288" s="6" t="s">
        <v>118</v>
      </c>
      <c r="I288" s="3">
        <v>2.058125</v>
      </c>
      <c r="J288" s="3">
        <f t="shared" ref="J288:J294" si="204">I288*G288</f>
        <v>12.348749999999999</v>
      </c>
      <c r="K288" s="170">
        <v>48.89</v>
      </c>
      <c r="L288" s="150">
        <f t="shared" ref="L288:L294" si="205">K288*J288</f>
        <v>603.73038750000001</v>
      </c>
      <c r="M288" s="150">
        <v>364.9</v>
      </c>
      <c r="N288" s="171">
        <f t="shared" ref="N288:N294" si="206">M288*G288</f>
        <v>2189.3999999999996</v>
      </c>
      <c r="O288" s="174">
        <f t="shared" ref="O288:O294" si="207">L288+N288</f>
        <v>2793.1303874999994</v>
      </c>
      <c r="P288" s="128"/>
      <c r="V288" s="3"/>
      <c r="W288" s="150"/>
    </row>
    <row r="289" spans="1:23" ht="18" customHeight="1" x14ac:dyDescent="0.2">
      <c r="A289" s="124">
        <f t="shared" si="185"/>
        <v>139</v>
      </c>
      <c r="B289" s="175" t="s">
        <v>164</v>
      </c>
      <c r="C289" s="175" t="s">
        <v>221</v>
      </c>
      <c r="D289" s="177" t="s">
        <v>220</v>
      </c>
      <c r="E289" s="178">
        <v>1</v>
      </c>
      <c r="F289" s="173">
        <v>0</v>
      </c>
      <c r="G289" s="172">
        <f t="shared" si="196"/>
        <v>1</v>
      </c>
      <c r="H289" s="6" t="s">
        <v>118</v>
      </c>
      <c r="I289" s="3">
        <v>0.58036900000000002</v>
      </c>
      <c r="J289" s="3">
        <f t="shared" si="204"/>
        <v>0.58036900000000002</v>
      </c>
      <c r="K289" s="170">
        <v>48.89</v>
      </c>
      <c r="L289" s="150">
        <f t="shared" si="205"/>
        <v>28.374240410000002</v>
      </c>
      <c r="M289" s="150">
        <v>111.25</v>
      </c>
      <c r="N289" s="171">
        <f t="shared" si="206"/>
        <v>111.25</v>
      </c>
      <c r="O289" s="174">
        <f t="shared" si="207"/>
        <v>139.62424041</v>
      </c>
      <c r="P289" s="128"/>
      <c r="V289" s="3"/>
      <c r="W289" s="150"/>
    </row>
    <row r="290" spans="1:23" ht="18" customHeight="1" x14ac:dyDescent="0.2">
      <c r="A290" s="124">
        <f t="shared" si="185"/>
        <v>140</v>
      </c>
      <c r="B290" s="175" t="s">
        <v>164</v>
      </c>
      <c r="C290" s="175" t="s">
        <v>221</v>
      </c>
      <c r="D290" s="177" t="s">
        <v>222</v>
      </c>
      <c r="E290" s="178">
        <v>3</v>
      </c>
      <c r="F290" s="173">
        <v>0</v>
      </c>
      <c r="G290" s="172">
        <f t="shared" ref="G290:G291" si="208">E290+(E290*F290)</f>
        <v>3</v>
      </c>
      <c r="H290" s="6" t="s">
        <v>118</v>
      </c>
      <c r="I290" s="3">
        <v>0.58036900000000002</v>
      </c>
      <c r="J290" s="3">
        <f t="shared" si="204"/>
        <v>1.741107</v>
      </c>
      <c r="K290" s="170">
        <v>48.89</v>
      </c>
      <c r="L290" s="150">
        <f t="shared" si="205"/>
        <v>85.122721229999996</v>
      </c>
      <c r="M290" s="150">
        <v>115.7</v>
      </c>
      <c r="N290" s="171">
        <f t="shared" si="206"/>
        <v>347.1</v>
      </c>
      <c r="O290" s="174">
        <f t="shared" si="207"/>
        <v>432.22272123000005</v>
      </c>
      <c r="P290" s="128"/>
      <c r="V290" s="3"/>
      <c r="W290" s="150"/>
    </row>
    <row r="291" spans="1:23" ht="18" customHeight="1" x14ac:dyDescent="0.2">
      <c r="A291" s="124">
        <f t="shared" si="185"/>
        <v>141</v>
      </c>
      <c r="B291" s="175" t="s">
        <v>164</v>
      </c>
      <c r="C291" s="175" t="s">
        <v>221</v>
      </c>
      <c r="D291" s="177" t="s">
        <v>223</v>
      </c>
      <c r="E291" s="178">
        <v>10</v>
      </c>
      <c r="F291" s="173">
        <v>0</v>
      </c>
      <c r="G291" s="172">
        <f t="shared" si="208"/>
        <v>10</v>
      </c>
      <c r="H291" s="6" t="s">
        <v>118</v>
      </c>
      <c r="I291" s="3">
        <v>0.58036900000000002</v>
      </c>
      <c r="J291" s="3">
        <f t="shared" si="204"/>
        <v>5.8036900000000005</v>
      </c>
      <c r="K291" s="170">
        <v>48.89</v>
      </c>
      <c r="L291" s="150">
        <f t="shared" si="205"/>
        <v>283.74240410000004</v>
      </c>
      <c r="M291" s="150">
        <v>124.60000000000001</v>
      </c>
      <c r="N291" s="171">
        <f t="shared" si="206"/>
        <v>1246</v>
      </c>
      <c r="O291" s="174">
        <f t="shared" si="207"/>
        <v>1529.7424040999999</v>
      </c>
      <c r="P291" s="128"/>
      <c r="V291" s="3"/>
      <c r="W291" s="150"/>
    </row>
    <row r="292" spans="1:23" ht="18" customHeight="1" x14ac:dyDescent="0.2">
      <c r="A292" s="124">
        <f t="shared" si="185"/>
        <v>142</v>
      </c>
      <c r="B292" s="175" t="s">
        <v>164</v>
      </c>
      <c r="C292" s="175" t="s">
        <v>221</v>
      </c>
      <c r="D292" s="177" t="s">
        <v>224</v>
      </c>
      <c r="E292" s="178">
        <v>7</v>
      </c>
      <c r="F292" s="173">
        <v>0</v>
      </c>
      <c r="G292" s="172">
        <f t="shared" ref="G292:G293" si="209">E292+(E292*F292)</f>
        <v>7</v>
      </c>
      <c r="H292" s="6" t="s">
        <v>118</v>
      </c>
      <c r="I292" s="3">
        <v>0.58036900000000002</v>
      </c>
      <c r="J292" s="3">
        <f t="shared" si="204"/>
        <v>4.0625830000000001</v>
      </c>
      <c r="K292" s="170">
        <v>48.89</v>
      </c>
      <c r="L292" s="150">
        <f t="shared" si="205"/>
        <v>198.61968286999999</v>
      </c>
      <c r="M292" s="150">
        <v>137.94999999999999</v>
      </c>
      <c r="N292" s="171">
        <f t="shared" si="206"/>
        <v>965.64999999999986</v>
      </c>
      <c r="O292" s="174">
        <f t="shared" si="207"/>
        <v>1164.2696828699998</v>
      </c>
      <c r="P292" s="128"/>
      <c r="V292" s="3"/>
      <c r="W292" s="150"/>
    </row>
    <row r="293" spans="1:23" ht="18" customHeight="1" x14ac:dyDescent="0.2">
      <c r="A293" s="124">
        <f t="shared" si="185"/>
        <v>143</v>
      </c>
      <c r="B293" s="175" t="s">
        <v>164</v>
      </c>
      <c r="C293" s="175" t="s">
        <v>221</v>
      </c>
      <c r="D293" s="177" t="s">
        <v>225</v>
      </c>
      <c r="E293" s="178">
        <v>3</v>
      </c>
      <c r="F293" s="173">
        <v>0</v>
      </c>
      <c r="G293" s="172">
        <f t="shared" si="209"/>
        <v>3</v>
      </c>
      <c r="H293" s="6" t="s">
        <v>118</v>
      </c>
      <c r="I293" s="3">
        <v>0.58036900000000002</v>
      </c>
      <c r="J293" s="3">
        <f t="shared" si="204"/>
        <v>1.741107</v>
      </c>
      <c r="K293" s="170">
        <v>48.89</v>
      </c>
      <c r="L293" s="150">
        <f t="shared" si="205"/>
        <v>85.122721229999996</v>
      </c>
      <c r="M293" s="150">
        <v>146.85</v>
      </c>
      <c r="N293" s="171">
        <f t="shared" si="206"/>
        <v>440.54999999999995</v>
      </c>
      <c r="O293" s="174">
        <f t="shared" si="207"/>
        <v>525.67272122999998</v>
      </c>
      <c r="P293" s="128"/>
      <c r="V293" s="3"/>
      <c r="W293" s="150"/>
    </row>
    <row r="294" spans="1:23" ht="18" customHeight="1" x14ac:dyDescent="0.2">
      <c r="A294" s="124">
        <f t="shared" si="185"/>
        <v>144</v>
      </c>
      <c r="B294" s="175" t="s">
        <v>164</v>
      </c>
      <c r="C294" s="175" t="s">
        <v>221</v>
      </c>
      <c r="D294" s="177" t="s">
        <v>226</v>
      </c>
      <c r="E294" s="178">
        <v>1</v>
      </c>
      <c r="F294" s="173">
        <v>0</v>
      </c>
      <c r="G294" s="172">
        <f t="shared" ref="G294" si="210">E294+(E294*F294)</f>
        <v>1</v>
      </c>
      <c r="H294" s="6" t="s">
        <v>118</v>
      </c>
      <c r="I294" s="3">
        <v>0.58036900000000002</v>
      </c>
      <c r="J294" s="3">
        <f t="shared" si="204"/>
        <v>0.58036900000000002</v>
      </c>
      <c r="K294" s="170">
        <v>48.89</v>
      </c>
      <c r="L294" s="150">
        <f t="shared" si="205"/>
        <v>28.374240410000002</v>
      </c>
      <c r="M294" s="150">
        <v>160.19999999999999</v>
      </c>
      <c r="N294" s="171">
        <f t="shared" si="206"/>
        <v>160.19999999999999</v>
      </c>
      <c r="O294" s="174">
        <f t="shared" si="207"/>
        <v>188.57424040999999</v>
      </c>
      <c r="P294" s="128"/>
      <c r="V294" s="3"/>
      <c r="W294" s="150"/>
    </row>
    <row r="295" spans="1:23" ht="15.75" x14ac:dyDescent="0.2">
      <c r="A295" s="124" t="str">
        <f t="shared" si="185"/>
        <v/>
      </c>
      <c r="B295" s="175"/>
      <c r="C295" s="175"/>
      <c r="D295" s="177" t="s">
        <v>121</v>
      </c>
      <c r="E295" s="178"/>
      <c r="F295" s="173"/>
      <c r="G295" s="172"/>
      <c r="H295" s="6"/>
      <c r="I295" s="3"/>
      <c r="J295" s="3"/>
      <c r="K295" s="147"/>
      <c r="L295" s="131"/>
      <c r="M295" s="131"/>
      <c r="N295" s="132"/>
      <c r="O295" s="174"/>
      <c r="P295" s="128"/>
      <c r="V295" s="3"/>
      <c r="W295" s="150"/>
    </row>
    <row r="296" spans="1:23" ht="18.75" x14ac:dyDescent="0.2">
      <c r="A296" s="124" t="str">
        <f t="shared" si="185"/>
        <v/>
      </c>
      <c r="B296" s="175"/>
      <c r="C296" s="175"/>
      <c r="D296" s="179" t="s">
        <v>201</v>
      </c>
      <c r="E296" s="178"/>
      <c r="F296" s="173"/>
      <c r="G296" s="172"/>
      <c r="H296" s="6"/>
      <c r="I296" s="3"/>
      <c r="J296" s="3"/>
      <c r="K296" s="147"/>
      <c r="L296" s="131"/>
      <c r="M296" s="131"/>
      <c r="N296" s="132"/>
      <c r="O296" s="174"/>
      <c r="P296" s="128"/>
      <c r="V296" s="3"/>
      <c r="W296" s="150"/>
    </row>
    <row r="297" spans="1:23" ht="18" customHeight="1" x14ac:dyDescent="0.2">
      <c r="A297" s="124">
        <f t="shared" si="185"/>
        <v>145</v>
      </c>
      <c r="B297" s="175" t="s">
        <v>164</v>
      </c>
      <c r="C297" s="175" t="s">
        <v>270</v>
      </c>
      <c r="D297" s="177" t="s">
        <v>211</v>
      </c>
      <c r="E297" s="178">
        <f>(137.07+31.04)*2+606.32+(34.69*2)</f>
        <v>1011.92</v>
      </c>
      <c r="F297" s="173">
        <v>0.05</v>
      </c>
      <c r="G297" s="172">
        <f t="shared" ref="G297:G300" si="211">E297+(E297*F297)</f>
        <v>1062.5160000000001</v>
      </c>
      <c r="H297" s="6" t="s">
        <v>119</v>
      </c>
      <c r="I297" s="3">
        <v>1.3996140000000001E-2</v>
      </c>
      <c r="J297" s="3">
        <f t="shared" ref="J297" si="212">I297*G297</f>
        <v>14.871122688240002</v>
      </c>
      <c r="K297" s="170">
        <v>48.89</v>
      </c>
      <c r="L297" s="150">
        <f t="shared" ref="L297" si="213">K297*J297</f>
        <v>727.04918822805371</v>
      </c>
      <c r="M297" s="150">
        <v>1.4684999999999999</v>
      </c>
      <c r="N297" s="171">
        <f t="shared" ref="N297" si="214">M297*G297</f>
        <v>1560.304746</v>
      </c>
      <c r="O297" s="174">
        <f t="shared" ref="O297" si="215">L297+N297</f>
        <v>2287.3539342280537</v>
      </c>
      <c r="P297" s="128"/>
      <c r="V297" s="3"/>
      <c r="W297" s="150"/>
    </row>
    <row r="298" spans="1:23" ht="18" customHeight="1" x14ac:dyDescent="0.2">
      <c r="A298" s="124">
        <f t="shared" si="185"/>
        <v>146</v>
      </c>
      <c r="B298" s="175" t="s">
        <v>164</v>
      </c>
      <c r="C298" s="175" t="s">
        <v>265</v>
      </c>
      <c r="D298" s="177" t="s">
        <v>259</v>
      </c>
      <c r="E298" s="178">
        <f>131.41+(34.69*2)</f>
        <v>200.79</v>
      </c>
      <c r="F298" s="173">
        <v>0.05</v>
      </c>
      <c r="G298" s="172">
        <f t="shared" ref="G298" si="216">E298+(E298*F298)</f>
        <v>210.8295</v>
      </c>
      <c r="H298" s="6" t="s">
        <v>119</v>
      </c>
      <c r="I298" s="3">
        <v>1.3996140000000001E-2</v>
      </c>
      <c r="J298" s="3">
        <f t="shared" ref="J298:J303" si="217">I298*G298</f>
        <v>2.9507991981299999</v>
      </c>
      <c r="K298" s="170">
        <v>48.89</v>
      </c>
      <c r="L298" s="131">
        <f t="shared" ref="L298:L303" si="218">K298*J298</f>
        <v>144.26457279657569</v>
      </c>
      <c r="M298" s="150">
        <v>1.6020000000000001</v>
      </c>
      <c r="N298" s="132">
        <f t="shared" ref="N298:N303" si="219">M298*G298</f>
        <v>337.74885900000004</v>
      </c>
      <c r="O298" s="174">
        <f t="shared" ref="O298:O303" si="220">L298+N298</f>
        <v>482.01343179657573</v>
      </c>
      <c r="P298" s="128"/>
      <c r="V298" s="3"/>
      <c r="W298" s="150"/>
    </row>
    <row r="299" spans="1:23" ht="18" customHeight="1" x14ac:dyDescent="0.2">
      <c r="A299" s="124">
        <f t="shared" si="185"/>
        <v>147</v>
      </c>
      <c r="B299" s="175" t="s">
        <v>164</v>
      </c>
      <c r="C299" s="175" t="s">
        <v>243</v>
      </c>
      <c r="D299" s="177" t="s">
        <v>242</v>
      </c>
      <c r="E299" s="178">
        <f>929.74*2</f>
        <v>1859.48</v>
      </c>
      <c r="F299" s="173">
        <v>0.05</v>
      </c>
      <c r="G299" s="172">
        <f t="shared" ref="G299" si="221">E299+(E299*F299)</f>
        <v>1952.454</v>
      </c>
      <c r="H299" s="6" t="s">
        <v>119</v>
      </c>
      <c r="I299" s="3">
        <v>1.3996140000000001E-2</v>
      </c>
      <c r="J299" s="3">
        <f t="shared" si="217"/>
        <v>27.326819527560001</v>
      </c>
      <c r="K299" s="170">
        <v>48.89</v>
      </c>
      <c r="L299" s="131">
        <f t="shared" si="218"/>
        <v>1336.0082067024084</v>
      </c>
      <c r="M299" s="150">
        <v>1.6909999999999998</v>
      </c>
      <c r="N299" s="132">
        <f t="shared" si="219"/>
        <v>3301.5997139999995</v>
      </c>
      <c r="O299" s="174">
        <f t="shared" si="220"/>
        <v>4637.6079207024077</v>
      </c>
      <c r="P299" s="128"/>
      <c r="V299" s="3"/>
      <c r="W299" s="150"/>
    </row>
    <row r="300" spans="1:23" ht="18" customHeight="1" x14ac:dyDescent="0.2">
      <c r="A300" s="124">
        <f t="shared" si="185"/>
        <v>148</v>
      </c>
      <c r="B300" s="175" t="s">
        <v>164</v>
      </c>
      <c r="C300" s="175" t="s">
        <v>216</v>
      </c>
      <c r="D300" s="177" t="s">
        <v>217</v>
      </c>
      <c r="E300" s="178">
        <f>96.01</f>
        <v>96.01</v>
      </c>
      <c r="F300" s="173">
        <v>0.05</v>
      </c>
      <c r="G300" s="172">
        <f t="shared" si="211"/>
        <v>100.8105</v>
      </c>
      <c r="H300" s="6" t="s">
        <v>119</v>
      </c>
      <c r="I300" s="3">
        <v>1.3996140000000001E-2</v>
      </c>
      <c r="J300" s="3">
        <f t="shared" si="217"/>
        <v>1.4109578714700002</v>
      </c>
      <c r="K300" s="170">
        <v>48.89</v>
      </c>
      <c r="L300" s="131">
        <f t="shared" si="218"/>
        <v>68.981730336168312</v>
      </c>
      <c r="M300" s="150">
        <v>1.3171999999999999</v>
      </c>
      <c r="N300" s="132">
        <f t="shared" si="219"/>
        <v>132.78759059999999</v>
      </c>
      <c r="O300" s="174">
        <f t="shared" si="220"/>
        <v>201.7693209361683</v>
      </c>
      <c r="P300" s="128"/>
      <c r="V300" s="3"/>
      <c r="W300" s="150"/>
    </row>
    <row r="301" spans="1:23" ht="18" customHeight="1" x14ac:dyDescent="0.2">
      <c r="A301" s="124">
        <f t="shared" si="185"/>
        <v>149</v>
      </c>
      <c r="B301" s="175" t="s">
        <v>164</v>
      </c>
      <c r="C301" s="175" t="s">
        <v>271</v>
      </c>
      <c r="D301" s="177" t="s">
        <v>198</v>
      </c>
      <c r="E301" s="178">
        <f>(794.61+96.01)*2+(146.17+734.06)</f>
        <v>2661.47</v>
      </c>
      <c r="F301" s="173">
        <v>0.05</v>
      </c>
      <c r="G301" s="172">
        <f t="shared" ref="G301" si="222">E301+(E301*F301)</f>
        <v>2794.5434999999998</v>
      </c>
      <c r="H301" s="6" t="s">
        <v>119</v>
      </c>
      <c r="I301" s="3">
        <v>1.3996140000000001E-2</v>
      </c>
      <c r="J301" s="3">
        <f t="shared" si="217"/>
        <v>39.112822062089997</v>
      </c>
      <c r="K301" s="170">
        <v>48.89</v>
      </c>
      <c r="L301" s="131">
        <f t="shared" si="218"/>
        <v>1912.2258706155799</v>
      </c>
      <c r="M301" s="150">
        <v>1.5307999999999999</v>
      </c>
      <c r="N301" s="132">
        <f t="shared" si="219"/>
        <v>4277.8871897999998</v>
      </c>
      <c r="O301" s="174">
        <f t="shared" si="220"/>
        <v>6190.1130604155796</v>
      </c>
      <c r="P301" s="128"/>
      <c r="V301" s="3"/>
      <c r="W301" s="150"/>
    </row>
    <row r="302" spans="1:23" ht="18" customHeight="1" x14ac:dyDescent="0.2">
      <c r="A302" s="124">
        <f t="shared" si="185"/>
        <v>150</v>
      </c>
      <c r="B302" s="175" t="s">
        <v>164</v>
      </c>
      <c r="C302" s="175" t="s">
        <v>162</v>
      </c>
      <c r="D302" s="177" t="s">
        <v>199</v>
      </c>
      <c r="E302" s="178">
        <f>794.61*2</f>
        <v>1589.22</v>
      </c>
      <c r="F302" s="173">
        <v>0.05</v>
      </c>
      <c r="G302" s="172">
        <f t="shared" ref="G302:G303" si="223">E302+(E302*F302)</f>
        <v>1668.681</v>
      </c>
      <c r="H302" s="6" t="s">
        <v>119</v>
      </c>
      <c r="I302" s="3">
        <v>1.3996140000000001E-2</v>
      </c>
      <c r="J302" s="3">
        <f t="shared" si="217"/>
        <v>23.35509289134</v>
      </c>
      <c r="K302" s="170">
        <v>48.89</v>
      </c>
      <c r="L302" s="131">
        <f t="shared" si="218"/>
        <v>1141.8304914576127</v>
      </c>
      <c r="M302" s="150">
        <v>1.6376000000000002</v>
      </c>
      <c r="N302" s="132">
        <f t="shared" si="219"/>
        <v>2732.6320056000004</v>
      </c>
      <c r="O302" s="174">
        <f t="shared" si="220"/>
        <v>3874.4624970576133</v>
      </c>
      <c r="P302" s="128"/>
      <c r="V302" s="3"/>
      <c r="W302" s="150"/>
    </row>
    <row r="303" spans="1:23" ht="18" customHeight="1" x14ac:dyDescent="0.2">
      <c r="A303" s="124">
        <f t="shared" si="185"/>
        <v>151</v>
      </c>
      <c r="B303" s="175" t="s">
        <v>164</v>
      </c>
      <c r="C303" s="175" t="s">
        <v>162</v>
      </c>
      <c r="D303" s="177" t="s">
        <v>200</v>
      </c>
      <c r="E303" s="178">
        <f>794.61</f>
        <v>794.61</v>
      </c>
      <c r="F303" s="173">
        <v>0.05</v>
      </c>
      <c r="G303" s="172">
        <f t="shared" si="223"/>
        <v>834.34050000000002</v>
      </c>
      <c r="H303" s="6" t="s">
        <v>119</v>
      </c>
      <c r="I303" s="3">
        <v>1.3996140000000001E-2</v>
      </c>
      <c r="J303" s="3">
        <f t="shared" si="217"/>
        <v>11.67754644567</v>
      </c>
      <c r="K303" s="170">
        <v>48.89</v>
      </c>
      <c r="L303" s="131">
        <f t="shared" si="218"/>
        <v>570.91524572880633</v>
      </c>
      <c r="M303" s="150">
        <v>1.8956999999999999</v>
      </c>
      <c r="N303" s="132">
        <f t="shared" si="219"/>
        <v>1581.6592858500001</v>
      </c>
      <c r="O303" s="174">
        <f t="shared" si="220"/>
        <v>2152.5745315788063</v>
      </c>
      <c r="P303" s="128"/>
      <c r="V303" s="3"/>
      <c r="W303" s="150"/>
    </row>
    <row r="304" spans="1:23" ht="15.75" x14ac:dyDescent="0.2">
      <c r="A304" s="124" t="str">
        <f t="shared" si="185"/>
        <v/>
      </c>
      <c r="B304" s="175"/>
      <c r="C304" s="175"/>
      <c r="D304" s="177" t="s">
        <v>121</v>
      </c>
      <c r="E304" s="178"/>
      <c r="F304" s="173"/>
      <c r="G304" s="172"/>
      <c r="H304" s="6"/>
      <c r="I304" s="3"/>
      <c r="J304" s="3"/>
      <c r="K304" s="147"/>
      <c r="L304" s="131"/>
      <c r="M304" s="131"/>
      <c r="N304" s="132"/>
      <c r="O304" s="174"/>
      <c r="P304" s="128"/>
      <c r="V304" s="3"/>
      <c r="W304" s="150"/>
    </row>
    <row r="305" spans="1:23" ht="18.75" x14ac:dyDescent="0.2">
      <c r="A305" s="124" t="str">
        <f t="shared" si="185"/>
        <v/>
      </c>
      <c r="B305" s="175"/>
      <c r="C305" s="175"/>
      <c r="D305" s="179" t="s">
        <v>202</v>
      </c>
      <c r="E305" s="178"/>
      <c r="F305" s="173"/>
      <c r="G305" s="172"/>
      <c r="H305" s="6"/>
      <c r="I305" s="3"/>
      <c r="J305" s="3"/>
      <c r="K305" s="147"/>
      <c r="L305" s="131"/>
      <c r="M305" s="131"/>
      <c r="N305" s="132"/>
      <c r="O305" s="174"/>
      <c r="P305" s="128"/>
      <c r="V305" s="3"/>
      <c r="W305" s="150"/>
    </row>
    <row r="306" spans="1:23" ht="18" customHeight="1" x14ac:dyDescent="0.2">
      <c r="A306" s="124">
        <f t="shared" si="185"/>
        <v>152</v>
      </c>
      <c r="B306" s="175" t="s">
        <v>164</v>
      </c>
      <c r="C306" s="175" t="s">
        <v>212</v>
      </c>
      <c r="D306" s="177" t="s">
        <v>203</v>
      </c>
      <c r="E306" s="178">
        <f>(137.07+31.04)*1.17*2+1116+(34.69*1)</f>
        <v>1544.0673999999999</v>
      </c>
      <c r="F306" s="173">
        <v>0.05</v>
      </c>
      <c r="G306" s="172">
        <f t="shared" ref="G306" si="224">E306+(E306*F306)</f>
        <v>1621.2707699999999</v>
      </c>
      <c r="H306" s="6" t="s">
        <v>120</v>
      </c>
      <c r="I306" s="3">
        <v>2.1415624999999997E-2</v>
      </c>
      <c r="J306" s="3">
        <f t="shared" ref="J306" si="225">I306*G306</f>
        <v>34.720526833781243</v>
      </c>
      <c r="K306" s="170">
        <v>48.89</v>
      </c>
      <c r="L306" s="150">
        <f t="shared" ref="L306" si="226">K306*J306</f>
        <v>1697.4865569035651</v>
      </c>
      <c r="M306" s="150">
        <v>1.590875</v>
      </c>
      <c r="N306" s="171">
        <f t="shared" ref="N306" si="227">M306*G306</f>
        <v>2579.2391362237499</v>
      </c>
      <c r="O306" s="174">
        <f t="shared" ref="O306" si="228">L306+N306</f>
        <v>4276.725693127315</v>
      </c>
      <c r="P306" s="128"/>
      <c r="V306" s="3"/>
      <c r="W306" s="150"/>
    </row>
    <row r="307" spans="1:23" ht="15.75" x14ac:dyDescent="0.2">
      <c r="A307" s="124" t="str">
        <f t="shared" si="185"/>
        <v/>
      </c>
      <c r="B307" s="175"/>
      <c r="C307" s="175"/>
      <c r="D307" s="177" t="s">
        <v>121</v>
      </c>
      <c r="E307" s="178"/>
      <c r="F307" s="173"/>
      <c r="G307" s="172"/>
      <c r="H307" s="6"/>
      <c r="I307" s="3"/>
      <c r="J307" s="3"/>
      <c r="K307" s="147"/>
      <c r="L307" s="131"/>
      <c r="M307" s="131"/>
      <c r="N307" s="132"/>
      <c r="O307" s="174"/>
      <c r="P307" s="128"/>
      <c r="V307" s="3"/>
      <c r="W307" s="150"/>
    </row>
    <row r="308" spans="1:23" ht="18.75" x14ac:dyDescent="0.2">
      <c r="A308" s="124" t="str">
        <f t="shared" si="185"/>
        <v/>
      </c>
      <c r="B308" s="175"/>
      <c r="C308" s="175"/>
      <c r="D308" s="179" t="s">
        <v>209</v>
      </c>
      <c r="E308" s="178"/>
      <c r="F308" s="173"/>
      <c r="G308" s="172"/>
      <c r="H308" s="6"/>
      <c r="I308" s="3"/>
      <c r="J308" s="3"/>
      <c r="K308" s="147"/>
      <c r="L308" s="131"/>
      <c r="M308" s="131"/>
      <c r="N308" s="132"/>
      <c r="O308" s="174"/>
      <c r="P308" s="128"/>
      <c r="V308" s="3"/>
      <c r="W308" s="150"/>
    </row>
    <row r="309" spans="1:23" ht="18" customHeight="1" x14ac:dyDescent="0.2">
      <c r="A309" s="124">
        <f t="shared" si="185"/>
        <v>153</v>
      </c>
      <c r="B309" s="175" t="s">
        <v>164</v>
      </c>
      <c r="C309" s="175" t="s">
        <v>162</v>
      </c>
      <c r="D309" s="177" t="s">
        <v>210</v>
      </c>
      <c r="E309" s="178">
        <f>794.61*0.42</f>
        <v>333.7362</v>
      </c>
      <c r="F309" s="173">
        <v>0.05</v>
      </c>
      <c r="G309" s="172">
        <f t="shared" ref="G309" si="229">E309+(E309*F309)</f>
        <v>350.42300999999998</v>
      </c>
      <c r="H309" s="6" t="s">
        <v>120</v>
      </c>
      <c r="I309" s="3">
        <v>2.0403249999999998E-2</v>
      </c>
      <c r="J309" s="3">
        <f t="shared" ref="J309:J310" si="230">I309*G309</f>
        <v>7.1497682787824983</v>
      </c>
      <c r="K309" s="170">
        <v>48.89</v>
      </c>
      <c r="L309" s="150">
        <f t="shared" ref="L309:L310" si="231">K309*J309</f>
        <v>349.55217114967633</v>
      </c>
      <c r="M309" s="150">
        <v>1.4062000000000001</v>
      </c>
      <c r="N309" s="171">
        <f t="shared" ref="N309:N310" si="232">M309*G309</f>
        <v>492.76483666199999</v>
      </c>
      <c r="O309" s="174">
        <f t="shared" ref="O309:O310" si="233">L309+N309</f>
        <v>842.31700781167638</v>
      </c>
      <c r="P309" s="128"/>
      <c r="V309" s="3"/>
      <c r="W309" s="150"/>
    </row>
    <row r="310" spans="1:23" ht="18" customHeight="1" x14ac:dyDescent="0.2">
      <c r="A310" s="124">
        <f t="shared" si="185"/>
        <v>154</v>
      </c>
      <c r="B310" s="175" t="s">
        <v>164</v>
      </c>
      <c r="C310" s="175" t="s">
        <v>216</v>
      </c>
      <c r="D310" s="177" t="s">
        <v>218</v>
      </c>
      <c r="E310" s="178">
        <f>96.01*0.5</f>
        <v>48.005000000000003</v>
      </c>
      <c r="F310" s="173">
        <v>0.05</v>
      </c>
      <c r="G310" s="172">
        <f t="shared" ref="G310" si="234">E310+(E310*F310)</f>
        <v>50.405250000000002</v>
      </c>
      <c r="H310" s="6" t="s">
        <v>120</v>
      </c>
      <c r="I310" s="3">
        <v>2.0636874999999996E-2</v>
      </c>
      <c r="J310" s="3">
        <f t="shared" si="230"/>
        <v>1.0402068435937499</v>
      </c>
      <c r="K310" s="170">
        <v>48.89</v>
      </c>
      <c r="L310" s="150">
        <f t="shared" si="231"/>
        <v>50.855712583298434</v>
      </c>
      <c r="M310" s="150">
        <v>1.5330250000000001</v>
      </c>
      <c r="N310" s="171">
        <f t="shared" si="232"/>
        <v>77.272508381250006</v>
      </c>
      <c r="O310" s="174">
        <f t="shared" si="233"/>
        <v>128.12822096454843</v>
      </c>
      <c r="P310" s="128"/>
      <c r="V310" s="3"/>
      <c r="W310" s="150"/>
    </row>
    <row r="311" spans="1:23" ht="15.75" x14ac:dyDescent="0.2">
      <c r="A311" s="124" t="str">
        <f t="shared" si="185"/>
        <v/>
      </c>
      <c r="B311" s="175"/>
      <c r="C311" s="175"/>
      <c r="D311" s="177" t="s">
        <v>121</v>
      </c>
      <c r="E311" s="178"/>
      <c r="F311" s="173"/>
      <c r="G311" s="172"/>
      <c r="H311" s="6"/>
      <c r="I311" s="3"/>
      <c r="J311" s="3"/>
      <c r="K311" s="147"/>
      <c r="L311" s="131"/>
      <c r="M311" s="131"/>
      <c r="N311" s="132"/>
      <c r="O311" s="174"/>
      <c r="P311" s="128"/>
      <c r="V311" s="3"/>
      <c r="W311" s="150"/>
    </row>
    <row r="312" spans="1:23" ht="18.75" x14ac:dyDescent="0.2">
      <c r="A312" s="124" t="str">
        <f t="shared" si="185"/>
        <v/>
      </c>
      <c r="B312" s="175"/>
      <c r="C312" s="175"/>
      <c r="D312" s="179" t="s">
        <v>214</v>
      </c>
      <c r="E312" s="178"/>
      <c r="F312" s="173"/>
      <c r="G312" s="172"/>
      <c r="H312" s="6"/>
      <c r="I312" s="3"/>
      <c r="J312" s="3"/>
      <c r="K312" s="147"/>
      <c r="L312" s="131"/>
      <c r="M312" s="131"/>
      <c r="N312" s="132"/>
      <c r="O312" s="174"/>
      <c r="P312" s="128"/>
      <c r="V312" s="3"/>
      <c r="W312" s="150"/>
    </row>
    <row r="313" spans="1:23" ht="18" customHeight="1" x14ac:dyDescent="0.2">
      <c r="A313" s="124">
        <f t="shared" si="185"/>
        <v>155</v>
      </c>
      <c r="B313" s="175" t="s">
        <v>164</v>
      </c>
      <c r="C313" s="175" t="s">
        <v>162</v>
      </c>
      <c r="D313" s="177" t="s">
        <v>215</v>
      </c>
      <c r="E313" s="178">
        <f>12*(1.5*3)</f>
        <v>54</v>
      </c>
      <c r="F313" s="173">
        <v>0.05</v>
      </c>
      <c r="G313" s="172">
        <f t="shared" ref="G313" si="235">E313+(E313*F313)</f>
        <v>56.7</v>
      </c>
      <c r="H313" s="6" t="s">
        <v>120</v>
      </c>
      <c r="I313" s="3">
        <v>4.2831249999999994E-2</v>
      </c>
      <c r="J313" s="3">
        <f t="shared" ref="J313" si="236">I313*G313</f>
        <v>2.428531875</v>
      </c>
      <c r="K313" s="170">
        <v>48.89</v>
      </c>
      <c r="L313" s="150">
        <f t="shared" ref="L313" si="237">K313*J313</f>
        <v>118.73092336875</v>
      </c>
      <c r="M313" s="150">
        <v>2.9903999999999997</v>
      </c>
      <c r="N313" s="171">
        <f t="shared" ref="N313" si="238">M313*G313</f>
        <v>169.55568</v>
      </c>
      <c r="O313" s="174">
        <f t="shared" ref="O313" si="239">L313+N313</f>
        <v>288.28660336874998</v>
      </c>
      <c r="P313" s="128"/>
      <c r="V313" s="3"/>
      <c r="W313" s="150"/>
    </row>
    <row r="314" spans="1:23" ht="15.75" x14ac:dyDescent="0.2">
      <c r="A314" s="124" t="str">
        <f t="shared" si="185"/>
        <v/>
      </c>
      <c r="B314" s="175"/>
      <c r="C314" s="175"/>
      <c r="D314" s="177" t="s">
        <v>121</v>
      </c>
      <c r="E314" s="178"/>
      <c r="F314" s="173"/>
      <c r="G314" s="172"/>
      <c r="H314" s="6"/>
      <c r="I314" s="3"/>
      <c r="J314" s="3"/>
      <c r="K314" s="147"/>
      <c r="L314" s="131"/>
      <c r="M314" s="131"/>
      <c r="N314" s="132"/>
      <c r="O314" s="174"/>
      <c r="P314" s="128"/>
      <c r="V314" s="3"/>
      <c r="W314" s="150"/>
    </row>
    <row r="315" spans="1:23" ht="18.75" x14ac:dyDescent="0.2">
      <c r="A315" s="124" t="str">
        <f t="shared" si="185"/>
        <v/>
      </c>
      <c r="B315" s="175"/>
      <c r="C315" s="175"/>
      <c r="D315" s="179" t="s">
        <v>134</v>
      </c>
      <c r="E315" s="178"/>
      <c r="F315" s="173"/>
      <c r="G315" s="172"/>
      <c r="H315" s="6"/>
      <c r="I315" s="3"/>
      <c r="J315" s="3"/>
      <c r="K315" s="147"/>
      <c r="L315" s="131"/>
      <c r="M315" s="131"/>
      <c r="N315" s="132"/>
      <c r="O315" s="174"/>
      <c r="P315" s="128"/>
      <c r="V315" s="3"/>
      <c r="W315" s="150"/>
    </row>
    <row r="316" spans="1:23" ht="18" customHeight="1" x14ac:dyDescent="0.2">
      <c r="A316" s="124">
        <f t="shared" si="185"/>
        <v>156</v>
      </c>
      <c r="B316" s="175" t="s">
        <v>164</v>
      </c>
      <c r="C316" s="175" t="s">
        <v>216</v>
      </c>
      <c r="D316" s="177" t="s">
        <v>219</v>
      </c>
      <c r="E316" s="178">
        <v>96.01</v>
      </c>
      <c r="F316" s="173">
        <v>0.05</v>
      </c>
      <c r="G316" s="172">
        <f t="shared" ref="G316:G324" si="240">E316+(E316*F316)</f>
        <v>100.8105</v>
      </c>
      <c r="H316" s="6" t="s">
        <v>119</v>
      </c>
      <c r="I316" s="3">
        <v>3.6045000000000001E-2</v>
      </c>
      <c r="J316" s="3">
        <f t="shared" ref="J316" si="241">I316*G316</f>
        <v>3.6337144725000003</v>
      </c>
      <c r="K316" s="170">
        <v>48.89</v>
      </c>
      <c r="L316" s="150">
        <f t="shared" ref="L316" si="242">K316*J316</f>
        <v>177.65230056052502</v>
      </c>
      <c r="M316" s="150">
        <v>1.1748000000000001</v>
      </c>
      <c r="N316" s="171">
        <f t="shared" ref="N316" si="243">M316*G316</f>
        <v>118.43217540000001</v>
      </c>
      <c r="O316" s="174">
        <f t="shared" ref="O316" si="244">L316+N316</f>
        <v>296.08447596052503</v>
      </c>
      <c r="P316" s="128"/>
      <c r="V316" s="3"/>
      <c r="W316" s="150"/>
    </row>
    <row r="317" spans="1:23" ht="18" customHeight="1" x14ac:dyDescent="0.2">
      <c r="A317" s="124">
        <f t="shared" si="185"/>
        <v>157</v>
      </c>
      <c r="B317" s="175" t="s">
        <v>164</v>
      </c>
      <c r="C317" s="175" t="s">
        <v>221</v>
      </c>
      <c r="D317" s="177" t="s">
        <v>227</v>
      </c>
      <c r="E317" s="178">
        <v>32.68</v>
      </c>
      <c r="F317" s="173">
        <v>0.05</v>
      </c>
      <c r="G317" s="172">
        <f t="shared" ref="G317" si="245">E317+(E317*F317)</f>
        <v>34.314</v>
      </c>
      <c r="H317" s="6" t="s">
        <v>119</v>
      </c>
      <c r="I317" s="3">
        <v>3.0705000000000003E-2</v>
      </c>
      <c r="J317" s="3">
        <f t="shared" ref="J317:J324" si="246">I317*G317</f>
        <v>1.05361137</v>
      </c>
      <c r="K317" s="170">
        <v>48.89</v>
      </c>
      <c r="L317" s="131">
        <f t="shared" ref="L317:L324" si="247">K317*J317</f>
        <v>51.511059879299999</v>
      </c>
      <c r="M317" s="150">
        <v>1.1214</v>
      </c>
      <c r="N317" s="132">
        <f t="shared" ref="N317:N324" si="248">M317*G317</f>
        <v>38.479719599999996</v>
      </c>
      <c r="O317" s="174">
        <f t="shared" ref="O317:O324" si="249">L317+N317</f>
        <v>89.990779479299988</v>
      </c>
      <c r="P317" s="128"/>
      <c r="V317" s="3"/>
      <c r="W317" s="150"/>
    </row>
    <row r="318" spans="1:23" ht="18" customHeight="1" x14ac:dyDescent="0.2">
      <c r="A318" s="124">
        <f t="shared" si="185"/>
        <v>158</v>
      </c>
      <c r="B318" s="175" t="s">
        <v>164</v>
      </c>
      <c r="C318" s="175" t="s">
        <v>228</v>
      </c>
      <c r="D318" s="177" t="s">
        <v>229</v>
      </c>
      <c r="E318" s="178">
        <v>804.54</v>
      </c>
      <c r="F318" s="173">
        <v>0.05</v>
      </c>
      <c r="G318" s="172">
        <f t="shared" ref="G318" si="250">E318+(E318*F318)</f>
        <v>844.76699999999994</v>
      </c>
      <c r="H318" s="6" t="s">
        <v>119</v>
      </c>
      <c r="I318" s="3">
        <v>3.0705000000000003E-2</v>
      </c>
      <c r="J318" s="3">
        <f t="shared" si="246"/>
        <v>25.938570735000003</v>
      </c>
      <c r="K318" s="170">
        <v>48.89</v>
      </c>
      <c r="L318" s="131">
        <f t="shared" si="247"/>
        <v>1268.1367232341502</v>
      </c>
      <c r="M318" s="150">
        <v>1.2104000000000001</v>
      </c>
      <c r="N318" s="132">
        <f t="shared" si="248"/>
        <v>1022.5059768000001</v>
      </c>
      <c r="O318" s="174">
        <f t="shared" si="249"/>
        <v>2290.64270003415</v>
      </c>
      <c r="P318" s="128"/>
      <c r="V318" s="3"/>
      <c r="W318" s="150"/>
    </row>
    <row r="319" spans="1:23" ht="18" customHeight="1" x14ac:dyDescent="0.2">
      <c r="A319" s="124">
        <f t="shared" si="185"/>
        <v>159</v>
      </c>
      <c r="B319" s="175" t="s">
        <v>164</v>
      </c>
      <c r="C319" s="175" t="s">
        <v>255</v>
      </c>
      <c r="D319" s="177" t="s">
        <v>254</v>
      </c>
      <c r="E319" s="178">
        <v>116.09</v>
      </c>
      <c r="F319" s="173">
        <v>0.05</v>
      </c>
      <c r="G319" s="172">
        <f t="shared" ref="G319" si="251">E319+(E319*F319)</f>
        <v>121.89450000000001</v>
      </c>
      <c r="H319" s="6" t="s">
        <v>119</v>
      </c>
      <c r="I319" s="3">
        <v>3.0705000000000003E-2</v>
      </c>
      <c r="J319" s="3">
        <f t="shared" si="246"/>
        <v>3.7427706225000006</v>
      </c>
      <c r="K319" s="170">
        <v>48.89</v>
      </c>
      <c r="L319" s="131">
        <f t="shared" si="247"/>
        <v>182.98405573402502</v>
      </c>
      <c r="M319" s="150">
        <v>0.94340000000000002</v>
      </c>
      <c r="N319" s="132">
        <f t="shared" si="248"/>
        <v>114.99527130000001</v>
      </c>
      <c r="O319" s="174">
        <f t="shared" si="249"/>
        <v>297.979327034025</v>
      </c>
      <c r="P319" s="128"/>
      <c r="V319" s="3"/>
      <c r="W319" s="150"/>
    </row>
    <row r="320" spans="1:23" ht="18" customHeight="1" x14ac:dyDescent="0.2">
      <c r="A320" s="124">
        <f t="shared" si="185"/>
        <v>160</v>
      </c>
      <c r="B320" s="175" t="s">
        <v>164</v>
      </c>
      <c r="C320" s="175" t="s">
        <v>241</v>
      </c>
      <c r="D320" s="177" t="s">
        <v>230</v>
      </c>
      <c r="E320" s="178">
        <f>158.83+929.74</f>
        <v>1088.57</v>
      </c>
      <c r="F320" s="173">
        <v>0.05</v>
      </c>
      <c r="G320" s="172">
        <f t="shared" ref="G320:G322" si="252">E320+(E320*F320)</f>
        <v>1142.9984999999999</v>
      </c>
      <c r="H320" s="6" t="s">
        <v>119</v>
      </c>
      <c r="I320" s="3">
        <v>3.0705000000000003E-2</v>
      </c>
      <c r="J320" s="3">
        <f t="shared" si="246"/>
        <v>35.095768942500001</v>
      </c>
      <c r="K320" s="170">
        <v>48.89</v>
      </c>
      <c r="L320" s="131">
        <f t="shared" si="247"/>
        <v>1715.832143598825</v>
      </c>
      <c r="M320" s="150">
        <v>1.0858000000000001</v>
      </c>
      <c r="N320" s="132">
        <f t="shared" si="248"/>
        <v>1241.0677713</v>
      </c>
      <c r="O320" s="174">
        <f t="shared" si="249"/>
        <v>2956.899914898825</v>
      </c>
      <c r="P320" s="128"/>
      <c r="V320" s="3"/>
      <c r="W320" s="150"/>
    </row>
    <row r="321" spans="1:23" ht="18" customHeight="1" x14ac:dyDescent="0.2">
      <c r="A321" s="124">
        <f t="shared" si="185"/>
        <v>161</v>
      </c>
      <c r="B321" s="175" t="s">
        <v>164</v>
      </c>
      <c r="C321" s="175" t="s">
        <v>234</v>
      </c>
      <c r="D321" s="177" t="s">
        <v>232</v>
      </c>
      <c r="E321" s="178">
        <v>25.34</v>
      </c>
      <c r="F321" s="173">
        <v>0.05</v>
      </c>
      <c r="G321" s="172">
        <f t="shared" ref="G321" si="253">E321+(E321*F321)</f>
        <v>26.606999999999999</v>
      </c>
      <c r="H321" s="6" t="s">
        <v>119</v>
      </c>
      <c r="I321" s="3">
        <v>3.0705000000000003E-2</v>
      </c>
      <c r="J321" s="3">
        <f t="shared" si="246"/>
        <v>0.81696793500000009</v>
      </c>
      <c r="K321" s="170">
        <v>48.89</v>
      </c>
      <c r="L321" s="131">
        <f t="shared" si="247"/>
        <v>39.941562342150007</v>
      </c>
      <c r="M321" s="150">
        <v>0.73870000000000002</v>
      </c>
      <c r="N321" s="132">
        <f t="shared" si="248"/>
        <v>19.654590899999999</v>
      </c>
      <c r="O321" s="174">
        <f t="shared" si="249"/>
        <v>59.59615324215001</v>
      </c>
      <c r="P321" s="128"/>
      <c r="V321" s="3"/>
      <c r="W321" s="150"/>
    </row>
    <row r="322" spans="1:23" ht="18" customHeight="1" x14ac:dyDescent="0.2">
      <c r="A322" s="124">
        <f t="shared" si="185"/>
        <v>162</v>
      </c>
      <c r="B322" s="175" t="s">
        <v>164</v>
      </c>
      <c r="C322" s="175" t="s">
        <v>234</v>
      </c>
      <c r="D322" s="177" t="s">
        <v>233</v>
      </c>
      <c r="E322" s="178">
        <v>14.92</v>
      </c>
      <c r="F322" s="173">
        <v>0.05</v>
      </c>
      <c r="G322" s="172">
        <f t="shared" si="252"/>
        <v>15.666</v>
      </c>
      <c r="H322" s="6" t="s">
        <v>119</v>
      </c>
      <c r="I322" s="3">
        <v>3.0705000000000003E-2</v>
      </c>
      <c r="J322" s="3">
        <f t="shared" si="246"/>
        <v>0.48102453000000006</v>
      </c>
      <c r="K322" s="170">
        <v>48.89</v>
      </c>
      <c r="L322" s="131">
        <f t="shared" si="247"/>
        <v>23.517289271700005</v>
      </c>
      <c r="M322" s="150">
        <v>2.1983000000000001</v>
      </c>
      <c r="N322" s="132">
        <f t="shared" si="248"/>
        <v>34.438567800000001</v>
      </c>
      <c r="O322" s="174">
        <f t="shared" si="249"/>
        <v>57.955857071700009</v>
      </c>
      <c r="P322" s="128"/>
      <c r="V322" s="3"/>
      <c r="W322" s="150"/>
    </row>
    <row r="323" spans="1:23" ht="18" customHeight="1" x14ac:dyDescent="0.2">
      <c r="A323" s="124">
        <f t="shared" si="185"/>
        <v>163</v>
      </c>
      <c r="B323" s="175" t="s">
        <v>164</v>
      </c>
      <c r="C323" s="175" t="s">
        <v>234</v>
      </c>
      <c r="D323" s="177" t="s">
        <v>231</v>
      </c>
      <c r="E323" s="178">
        <v>682.55</v>
      </c>
      <c r="F323" s="173">
        <v>0.05</v>
      </c>
      <c r="G323" s="172">
        <f t="shared" si="240"/>
        <v>716.67750000000001</v>
      </c>
      <c r="H323" s="6" t="s">
        <v>119</v>
      </c>
      <c r="I323" s="3">
        <v>3.0705000000000003E-2</v>
      </c>
      <c r="J323" s="3">
        <f t="shared" si="246"/>
        <v>22.005582637500002</v>
      </c>
      <c r="K323" s="170">
        <v>48.89</v>
      </c>
      <c r="L323" s="131">
        <f t="shared" si="247"/>
        <v>1075.8529351473751</v>
      </c>
      <c r="M323" s="150">
        <v>3.0438000000000001</v>
      </c>
      <c r="N323" s="132">
        <f t="shared" si="248"/>
        <v>2181.4229745000002</v>
      </c>
      <c r="O323" s="174">
        <f t="shared" si="249"/>
        <v>3257.2759096473756</v>
      </c>
      <c r="P323" s="128"/>
      <c r="V323" s="3"/>
      <c r="W323" s="150"/>
    </row>
    <row r="324" spans="1:23" ht="18" customHeight="1" x14ac:dyDescent="0.2">
      <c r="A324" s="124">
        <f t="shared" si="185"/>
        <v>164</v>
      </c>
      <c r="B324" s="175" t="s">
        <v>164</v>
      </c>
      <c r="C324" s="175" t="s">
        <v>234</v>
      </c>
      <c r="D324" s="177" t="s">
        <v>235</v>
      </c>
      <c r="E324" s="178">
        <f>682.55*0.67</f>
        <v>457.30849999999998</v>
      </c>
      <c r="F324" s="173">
        <v>0.05</v>
      </c>
      <c r="G324" s="172">
        <f t="shared" si="240"/>
        <v>480.173925</v>
      </c>
      <c r="H324" s="6" t="s">
        <v>120</v>
      </c>
      <c r="I324" s="3">
        <v>4.2831249999999994E-2</v>
      </c>
      <c r="J324" s="3">
        <f t="shared" si="246"/>
        <v>20.566449425156247</v>
      </c>
      <c r="K324" s="170">
        <v>48.89</v>
      </c>
      <c r="L324" s="150">
        <f t="shared" si="247"/>
        <v>1005.4937123958889</v>
      </c>
      <c r="M324" s="150">
        <v>2.7946</v>
      </c>
      <c r="N324" s="171">
        <f t="shared" si="248"/>
        <v>1341.894050805</v>
      </c>
      <c r="O324" s="174">
        <f t="shared" si="249"/>
        <v>2347.3877632008889</v>
      </c>
      <c r="P324" s="128"/>
      <c r="V324" s="3"/>
      <c r="W324" s="150"/>
    </row>
    <row r="325" spans="1:23" ht="15.75" x14ac:dyDescent="0.2">
      <c r="A325" s="124" t="str">
        <f t="shared" si="185"/>
        <v/>
      </c>
      <c r="B325" s="175"/>
      <c r="C325" s="175"/>
      <c r="D325" s="177" t="s">
        <v>121</v>
      </c>
      <c r="E325" s="178"/>
      <c r="F325" s="173"/>
      <c r="G325" s="172"/>
      <c r="H325" s="6"/>
      <c r="I325" s="3"/>
      <c r="J325" s="3"/>
      <c r="K325" s="147"/>
      <c r="L325" s="131"/>
      <c r="M325" s="131"/>
      <c r="N325" s="132"/>
      <c r="O325" s="174"/>
      <c r="P325" s="128"/>
      <c r="V325" s="3"/>
      <c r="W325" s="150"/>
    </row>
    <row r="326" spans="1:23" ht="18.75" x14ac:dyDescent="0.2">
      <c r="A326" s="124" t="str">
        <f t="shared" si="185"/>
        <v/>
      </c>
      <c r="B326" s="175"/>
      <c r="C326" s="175"/>
      <c r="D326" s="179" t="s">
        <v>133</v>
      </c>
      <c r="E326" s="178"/>
      <c r="F326" s="173"/>
      <c r="G326" s="172"/>
      <c r="H326" s="6"/>
      <c r="I326" s="3"/>
      <c r="J326" s="3"/>
      <c r="K326" s="147"/>
      <c r="L326" s="131"/>
      <c r="M326" s="131"/>
      <c r="N326" s="132"/>
      <c r="O326" s="174"/>
      <c r="P326" s="128"/>
      <c r="V326" s="3"/>
      <c r="W326" s="150"/>
    </row>
    <row r="327" spans="1:23" ht="15.75" x14ac:dyDescent="0.2">
      <c r="A327" s="124" t="str">
        <f t="shared" si="185"/>
        <v/>
      </c>
      <c r="B327" s="175"/>
      <c r="C327" s="175"/>
      <c r="D327" s="177" t="s">
        <v>121</v>
      </c>
      <c r="E327" s="178"/>
      <c r="F327" s="173"/>
      <c r="G327" s="172"/>
      <c r="H327" s="6"/>
      <c r="I327" s="3"/>
      <c r="J327" s="3"/>
      <c r="K327" s="147"/>
      <c r="L327" s="131"/>
      <c r="M327" s="131"/>
      <c r="N327" s="132"/>
      <c r="O327" s="174"/>
      <c r="P327" s="128"/>
      <c r="V327" s="3"/>
      <c r="W327" s="150"/>
    </row>
    <row r="328" spans="1:23" ht="18" customHeight="1" x14ac:dyDescent="0.2">
      <c r="A328" s="124" t="str">
        <f t="shared" si="185"/>
        <v/>
      </c>
      <c r="B328" s="175"/>
      <c r="C328" s="175"/>
      <c r="D328" s="181" t="s">
        <v>125</v>
      </c>
      <c r="E328" s="178"/>
      <c r="F328" s="173"/>
      <c r="G328" s="172"/>
      <c r="H328" s="6"/>
      <c r="I328" s="3"/>
      <c r="J328" s="3"/>
      <c r="K328" s="147"/>
      <c r="L328" s="131"/>
      <c r="M328" s="131"/>
      <c r="N328" s="132"/>
      <c r="O328" s="174"/>
      <c r="P328" s="128"/>
      <c r="V328" s="3"/>
      <c r="W328" s="150"/>
    </row>
    <row r="329" spans="1:23" ht="18" customHeight="1" x14ac:dyDescent="0.2">
      <c r="A329" s="124">
        <f t="shared" si="185"/>
        <v>165</v>
      </c>
      <c r="B329" s="175" t="s">
        <v>164</v>
      </c>
      <c r="C329" s="175" t="s">
        <v>269</v>
      </c>
      <c r="D329" s="177" t="s">
        <v>256</v>
      </c>
      <c r="E329" s="178">
        <v>351.71</v>
      </c>
      <c r="F329" s="173">
        <v>0.05</v>
      </c>
      <c r="G329" s="172">
        <f t="shared" ref="G329" si="254">E329+(E329*F329)</f>
        <v>369.2955</v>
      </c>
      <c r="H329" s="6" t="s">
        <v>119</v>
      </c>
      <c r="I329" s="3">
        <v>7.5211674999999992E-2</v>
      </c>
      <c r="J329" s="3">
        <f t="shared" ref="J329" si="255">I329*G329</f>
        <v>27.775333124962497</v>
      </c>
      <c r="K329" s="170">
        <v>48.89</v>
      </c>
      <c r="L329" s="150">
        <f t="shared" ref="L329" si="256">K329*J329</f>
        <v>1357.9360364794165</v>
      </c>
      <c r="M329" s="150">
        <v>4.1651999999999996</v>
      </c>
      <c r="N329" s="171">
        <f t="shared" ref="N329" si="257">M329*G329</f>
        <v>1538.1896165999999</v>
      </c>
      <c r="O329" s="174">
        <f t="shared" ref="O329" si="258">L329+N329</f>
        <v>2896.1256530794162</v>
      </c>
      <c r="P329" s="128"/>
      <c r="V329" s="3"/>
      <c r="W329" s="150"/>
    </row>
    <row r="330" spans="1:23" ht="18" customHeight="1" x14ac:dyDescent="0.2">
      <c r="A330" s="124">
        <f t="shared" si="185"/>
        <v>166</v>
      </c>
      <c r="B330" s="175" t="s">
        <v>164</v>
      </c>
      <c r="C330" s="175" t="s">
        <v>269</v>
      </c>
      <c r="D330" s="177" t="s">
        <v>248</v>
      </c>
      <c r="E330" s="178">
        <f>146.17+734.06+472.56+558.56</f>
        <v>1911.35</v>
      </c>
      <c r="F330" s="173">
        <v>0.05</v>
      </c>
      <c r="G330" s="172">
        <f t="shared" ref="G330" si="259">E330+(E330*F330)</f>
        <v>2006.9175</v>
      </c>
      <c r="H330" s="6" t="s">
        <v>119</v>
      </c>
      <c r="I330" s="3">
        <v>7.5211674999999992E-2</v>
      </c>
      <c r="J330" s="3">
        <f t="shared" ref="J330:J332" si="260">I330*G330</f>
        <v>150.94362676181248</v>
      </c>
      <c r="K330" s="170">
        <v>48.89</v>
      </c>
      <c r="L330" s="131">
        <f t="shared" ref="L330:L332" si="261">K330*J330</f>
        <v>7379.6339123850121</v>
      </c>
      <c r="M330" s="150">
        <v>4.6636000000000006</v>
      </c>
      <c r="N330" s="132">
        <f t="shared" ref="N330:N332" si="262">M330*G330</f>
        <v>9359.4604530000015</v>
      </c>
      <c r="O330" s="174">
        <f t="shared" ref="O330:O332" si="263">L330+N330</f>
        <v>16739.094365385012</v>
      </c>
      <c r="P330" s="128"/>
      <c r="V330" s="3"/>
      <c r="W330" s="150"/>
    </row>
    <row r="331" spans="1:23" ht="18" customHeight="1" x14ac:dyDescent="0.2">
      <c r="A331" s="124">
        <f t="shared" si="185"/>
        <v>167</v>
      </c>
      <c r="B331" s="175" t="s">
        <v>164</v>
      </c>
      <c r="C331" s="175" t="s">
        <v>269</v>
      </c>
      <c r="D331" s="177" t="s">
        <v>257</v>
      </c>
      <c r="E331" s="178">
        <v>61.45</v>
      </c>
      <c r="F331" s="173">
        <v>0.05</v>
      </c>
      <c r="G331" s="172">
        <f t="shared" ref="G331" si="264">E331+(E331*F331)</f>
        <v>64.522500000000008</v>
      </c>
      <c r="H331" s="6" t="s">
        <v>119</v>
      </c>
      <c r="I331" s="3">
        <v>7.5211674999999992E-2</v>
      </c>
      <c r="J331" s="3">
        <f t="shared" si="260"/>
        <v>4.8528453001875</v>
      </c>
      <c r="K331" s="170">
        <v>48.89</v>
      </c>
      <c r="L331" s="131">
        <f t="shared" si="261"/>
        <v>237.25560672616689</v>
      </c>
      <c r="M331" s="150">
        <v>6.0698000000000008</v>
      </c>
      <c r="N331" s="132">
        <f t="shared" si="262"/>
        <v>391.6386705000001</v>
      </c>
      <c r="O331" s="174">
        <f t="shared" si="263"/>
        <v>628.89427722616699</v>
      </c>
      <c r="P331" s="128"/>
      <c r="V331" s="3"/>
      <c r="W331" s="150"/>
    </row>
    <row r="332" spans="1:23" ht="18" customHeight="1" x14ac:dyDescent="0.2">
      <c r="A332" s="124">
        <f t="shared" si="185"/>
        <v>168</v>
      </c>
      <c r="B332" s="175" t="s">
        <v>164</v>
      </c>
      <c r="C332" s="175" t="s">
        <v>269</v>
      </c>
      <c r="D332" s="177" t="s">
        <v>126</v>
      </c>
      <c r="E332" s="178">
        <f>468.35+34.69</f>
        <v>503.04</v>
      </c>
      <c r="F332" s="173">
        <v>0.05</v>
      </c>
      <c r="G332" s="172">
        <f t="shared" ref="G332" si="265">E332+(E332*F332)</f>
        <v>528.19200000000001</v>
      </c>
      <c r="H332" s="6" t="s">
        <v>119</v>
      </c>
      <c r="I332" s="3">
        <v>7.5211674999999992E-2</v>
      </c>
      <c r="J332" s="3">
        <f t="shared" si="260"/>
        <v>39.726205041599997</v>
      </c>
      <c r="K332" s="170">
        <v>48.89</v>
      </c>
      <c r="L332" s="131">
        <f t="shared" si="261"/>
        <v>1942.2141644838239</v>
      </c>
      <c r="M332" s="150">
        <v>5.6248000000000005</v>
      </c>
      <c r="N332" s="132">
        <f t="shared" si="262"/>
        <v>2970.9743616000001</v>
      </c>
      <c r="O332" s="174">
        <f t="shared" si="263"/>
        <v>4913.1885260838244</v>
      </c>
      <c r="P332" s="128"/>
      <c r="V332" s="3"/>
      <c r="W332" s="150"/>
    </row>
    <row r="333" spans="1:23" ht="15.75" x14ac:dyDescent="0.2">
      <c r="A333" s="124" t="str">
        <f t="shared" si="185"/>
        <v/>
      </c>
      <c r="B333" s="175"/>
      <c r="C333" s="175"/>
      <c r="D333" s="177" t="s">
        <v>121</v>
      </c>
      <c r="E333" s="178"/>
      <c r="F333" s="173"/>
      <c r="G333" s="172"/>
      <c r="H333" s="6"/>
      <c r="I333" s="3"/>
      <c r="J333" s="3"/>
      <c r="K333" s="170"/>
      <c r="L333" s="131"/>
      <c r="M333" s="131"/>
      <c r="N333" s="132"/>
      <c r="O333" s="174"/>
      <c r="P333" s="128"/>
      <c r="V333" s="3"/>
      <c r="W333" s="150"/>
    </row>
    <row r="334" spans="1:23" ht="18" customHeight="1" x14ac:dyDescent="0.2">
      <c r="A334" s="124" t="str">
        <f t="shared" si="185"/>
        <v/>
      </c>
      <c r="B334" s="175"/>
      <c r="C334" s="175"/>
      <c r="D334" s="181" t="s">
        <v>128</v>
      </c>
      <c r="E334" s="178"/>
      <c r="F334" s="173"/>
      <c r="G334" s="172"/>
      <c r="H334" s="6"/>
      <c r="I334" s="3"/>
      <c r="J334" s="3"/>
      <c r="K334" s="147"/>
      <c r="L334" s="131"/>
      <c r="M334" s="131"/>
      <c r="N334" s="132"/>
      <c r="O334" s="174"/>
      <c r="P334" s="128"/>
      <c r="V334" s="3"/>
      <c r="W334" s="150"/>
    </row>
    <row r="335" spans="1:23" ht="18" customHeight="1" x14ac:dyDescent="0.2">
      <c r="A335" s="124">
        <f t="shared" si="185"/>
        <v>169</v>
      </c>
      <c r="B335" s="175" t="s">
        <v>164</v>
      </c>
      <c r="C335" s="175" t="s">
        <v>243</v>
      </c>
      <c r="D335" s="177" t="s">
        <v>258</v>
      </c>
      <c r="E335" s="178">
        <v>681.59</v>
      </c>
      <c r="F335" s="173">
        <v>0.05</v>
      </c>
      <c r="G335" s="172">
        <f t="shared" ref="G335" si="266">E335+(E335*F335)</f>
        <v>715.66950000000008</v>
      </c>
      <c r="H335" s="6" t="s">
        <v>119</v>
      </c>
      <c r="I335" s="3">
        <v>1.3996140000000001E-2</v>
      </c>
      <c r="J335" s="3">
        <f t="shared" ref="J335" si="267">I335*G335</f>
        <v>10.016610515730001</v>
      </c>
      <c r="K335" s="170">
        <v>48.89</v>
      </c>
      <c r="L335" s="150">
        <f t="shared" ref="L335" si="268">K335*J335</f>
        <v>489.71208811403977</v>
      </c>
      <c r="M335" s="150">
        <v>1.0056999999999998</v>
      </c>
      <c r="N335" s="171">
        <f t="shared" ref="N335" si="269">M335*G335</f>
        <v>719.74881614999993</v>
      </c>
      <c r="O335" s="174">
        <f t="shared" ref="O335" si="270">L335+N335</f>
        <v>1209.4609042640398</v>
      </c>
      <c r="P335" s="128"/>
      <c r="V335" s="3"/>
      <c r="W335" s="150"/>
    </row>
    <row r="336" spans="1:23" ht="18" customHeight="1" x14ac:dyDescent="0.2">
      <c r="A336" s="124">
        <f t="shared" si="185"/>
        <v>170</v>
      </c>
      <c r="B336" s="175" t="s">
        <v>164</v>
      </c>
      <c r="C336" s="175" t="s">
        <v>243</v>
      </c>
      <c r="D336" s="177" t="s">
        <v>249</v>
      </c>
      <c r="E336" s="178">
        <f>146.17+734.06+472.56+503.13</f>
        <v>1855.92</v>
      </c>
      <c r="F336" s="173">
        <v>0.05</v>
      </c>
      <c r="G336" s="172">
        <f t="shared" ref="G336" si="271">E336+(E336*F336)</f>
        <v>1948.7160000000001</v>
      </c>
      <c r="H336" s="6" t="s">
        <v>119</v>
      </c>
      <c r="I336" s="3">
        <v>1.3996140000000001E-2</v>
      </c>
      <c r="J336" s="3">
        <f t="shared" ref="J336:J337" si="272">I336*G336</f>
        <v>27.274501956240002</v>
      </c>
      <c r="K336" s="170">
        <v>48.89</v>
      </c>
      <c r="L336" s="131">
        <f t="shared" ref="L336:L337" si="273">K336*J336</f>
        <v>1333.4504006405737</v>
      </c>
      <c r="M336" s="150">
        <v>1.1214</v>
      </c>
      <c r="N336" s="132">
        <f t="shared" ref="N336:N337" si="274">M336*G336</f>
        <v>2185.2901224000002</v>
      </c>
      <c r="O336" s="174">
        <f t="shared" ref="O336:O337" si="275">L336+N336</f>
        <v>3518.7405230405739</v>
      </c>
      <c r="P336" s="128"/>
      <c r="V336" s="3"/>
      <c r="W336" s="150"/>
    </row>
    <row r="337" spans="1:23" ht="18" customHeight="1" x14ac:dyDescent="0.2">
      <c r="A337" s="124">
        <f t="shared" si="185"/>
        <v>171</v>
      </c>
      <c r="B337" s="175" t="s">
        <v>164</v>
      </c>
      <c r="C337" s="175" t="s">
        <v>243</v>
      </c>
      <c r="D337" s="177" t="s">
        <v>139</v>
      </c>
      <c r="E337" s="178">
        <v>371.44</v>
      </c>
      <c r="F337" s="173">
        <v>0.05</v>
      </c>
      <c r="G337" s="172">
        <f t="shared" ref="G337" si="276">E337+(E337*F337)</f>
        <v>390.012</v>
      </c>
      <c r="H337" s="6" t="s">
        <v>119</v>
      </c>
      <c r="I337" s="3">
        <v>1.3996140000000001E-2</v>
      </c>
      <c r="J337" s="3">
        <f t="shared" si="272"/>
        <v>5.45866255368</v>
      </c>
      <c r="K337" s="170">
        <v>48.89</v>
      </c>
      <c r="L337" s="131">
        <f t="shared" si="273"/>
        <v>266.87401224941522</v>
      </c>
      <c r="M337" s="150">
        <v>1.2638</v>
      </c>
      <c r="N337" s="132">
        <f t="shared" si="274"/>
        <v>492.89716559999999</v>
      </c>
      <c r="O337" s="174">
        <f t="shared" si="275"/>
        <v>759.77117784941515</v>
      </c>
      <c r="P337" s="128"/>
      <c r="V337" s="3"/>
      <c r="W337" s="150"/>
    </row>
    <row r="338" spans="1:23" ht="15.75" x14ac:dyDescent="0.2">
      <c r="A338" s="124" t="str">
        <f t="shared" ref="A338:A395" si="277">IF(H338&lt;&gt;"",1+MAX(A328:A337),"")</f>
        <v/>
      </c>
      <c r="B338" s="175"/>
      <c r="C338" s="175"/>
      <c r="D338" s="177" t="s">
        <v>121</v>
      </c>
      <c r="E338" s="178"/>
      <c r="F338" s="173"/>
      <c r="G338" s="172"/>
      <c r="H338" s="6"/>
      <c r="I338" s="3"/>
      <c r="J338" s="3"/>
      <c r="K338" s="147"/>
      <c r="L338" s="131"/>
      <c r="M338" s="131"/>
      <c r="N338" s="132"/>
      <c r="O338" s="174"/>
      <c r="P338" s="128"/>
      <c r="V338" s="3"/>
      <c r="W338" s="150"/>
    </row>
    <row r="339" spans="1:23" ht="18" customHeight="1" x14ac:dyDescent="0.2">
      <c r="A339" s="124" t="str">
        <f t="shared" si="277"/>
        <v/>
      </c>
      <c r="B339" s="175"/>
      <c r="C339" s="175"/>
      <c r="D339" s="181" t="s">
        <v>130</v>
      </c>
      <c r="E339" s="178"/>
      <c r="F339" s="173"/>
      <c r="G339" s="172"/>
      <c r="H339" s="6"/>
      <c r="I339" s="3"/>
      <c r="J339" s="3"/>
      <c r="K339" s="147"/>
      <c r="L339" s="131"/>
      <c r="M339" s="131"/>
      <c r="N339" s="132"/>
      <c r="O339" s="174"/>
      <c r="P339" s="128"/>
      <c r="V339" s="3"/>
      <c r="W339" s="150"/>
    </row>
    <row r="340" spans="1:23" ht="18" customHeight="1" x14ac:dyDescent="0.2">
      <c r="A340" s="124">
        <f t="shared" si="277"/>
        <v>172</v>
      </c>
      <c r="B340" s="175" t="s">
        <v>164</v>
      </c>
      <c r="C340" s="175" t="s">
        <v>243</v>
      </c>
      <c r="D340" s="177" t="s">
        <v>244</v>
      </c>
      <c r="E340" s="178">
        <f>929.74+1556.16</f>
        <v>2485.9</v>
      </c>
      <c r="F340" s="173">
        <v>0.05</v>
      </c>
      <c r="G340" s="172">
        <f t="shared" ref="G340" si="278">E340+(E340*F340)</f>
        <v>2610.1950000000002</v>
      </c>
      <c r="H340" s="6" t="s">
        <v>119</v>
      </c>
      <c r="I340" s="3">
        <v>1.2021675000000001E-2</v>
      </c>
      <c r="J340" s="3">
        <f t="shared" ref="J340" si="279">I340*G340</f>
        <v>31.378915976625002</v>
      </c>
      <c r="K340" s="170">
        <v>48.89</v>
      </c>
      <c r="L340" s="131">
        <f t="shared" ref="L340" si="280">K340*J340</f>
        <v>1534.1152020971963</v>
      </c>
      <c r="M340" s="150">
        <v>1.1748000000000001</v>
      </c>
      <c r="N340" s="132">
        <f t="shared" ref="N340" si="281">M340*G340</f>
        <v>3066.4570860000003</v>
      </c>
      <c r="O340" s="174">
        <f t="shared" ref="O340" si="282">L340+N340</f>
        <v>4600.5722880971971</v>
      </c>
      <c r="P340" s="128"/>
      <c r="V340" s="3"/>
      <c r="W340" s="150"/>
    </row>
    <row r="341" spans="1:23" ht="15.75" x14ac:dyDescent="0.2">
      <c r="A341" s="124" t="str">
        <f t="shared" si="277"/>
        <v/>
      </c>
      <c r="B341" s="175"/>
      <c r="C341" s="175"/>
      <c r="D341" s="177" t="s">
        <v>121</v>
      </c>
      <c r="E341" s="178"/>
      <c r="F341" s="173"/>
      <c r="G341" s="172"/>
      <c r="H341" s="6"/>
      <c r="I341" s="3"/>
      <c r="J341" s="3"/>
      <c r="K341" s="147"/>
      <c r="L341" s="131"/>
      <c r="M341" s="131"/>
      <c r="N341" s="132"/>
      <c r="O341" s="174"/>
      <c r="P341" s="128"/>
      <c r="V341" s="3"/>
      <c r="W341" s="150"/>
    </row>
    <row r="342" spans="1:23" ht="18" customHeight="1" x14ac:dyDescent="0.2">
      <c r="A342" s="124" t="str">
        <f t="shared" si="277"/>
        <v/>
      </c>
      <c r="B342" s="175"/>
      <c r="C342" s="175"/>
      <c r="D342" s="181" t="s">
        <v>124</v>
      </c>
      <c r="E342" s="178"/>
      <c r="F342" s="173"/>
      <c r="G342" s="172"/>
      <c r="H342" s="6"/>
      <c r="I342" s="3"/>
      <c r="J342" s="3"/>
      <c r="K342" s="147"/>
      <c r="L342" s="131"/>
      <c r="M342" s="131"/>
      <c r="N342" s="132"/>
      <c r="O342" s="174"/>
      <c r="P342" s="128"/>
      <c r="V342" s="3"/>
      <c r="W342" s="150"/>
    </row>
    <row r="343" spans="1:23" ht="47.25" x14ac:dyDescent="0.2">
      <c r="A343" s="124">
        <f t="shared" si="277"/>
        <v>173</v>
      </c>
      <c r="B343" s="175" t="s">
        <v>164</v>
      </c>
      <c r="C343" s="175" t="s">
        <v>253</v>
      </c>
      <c r="D343" s="177" t="s">
        <v>131</v>
      </c>
      <c r="E343" s="178">
        <f>(472.56*5.08)+3796</f>
        <v>6196.6048000000001</v>
      </c>
      <c r="F343" s="173">
        <v>0.05</v>
      </c>
      <c r="G343" s="172">
        <f t="shared" ref="G343" si="283">E343+(E343*F343)</f>
        <v>6506.4350400000003</v>
      </c>
      <c r="H343" s="6" t="s">
        <v>120</v>
      </c>
      <c r="I343" s="3">
        <v>2.770125E-2</v>
      </c>
      <c r="J343" s="3">
        <f t="shared" ref="J343" si="284">I343*G343</f>
        <v>180.2363836518</v>
      </c>
      <c r="K343" s="170">
        <v>48.89</v>
      </c>
      <c r="L343" s="150">
        <f t="shared" ref="L343" si="285">K343*J343</f>
        <v>8811.7567967365012</v>
      </c>
      <c r="M343" s="150">
        <v>2.5186999999999999</v>
      </c>
      <c r="N343" s="171">
        <f t="shared" ref="N343" si="286">M343*G343</f>
        <v>16387.757935247999</v>
      </c>
      <c r="O343" s="174">
        <f t="shared" ref="O343" si="287">L343+N343</f>
        <v>25199.514731984498</v>
      </c>
      <c r="P343" s="128"/>
      <c r="V343" s="3"/>
      <c r="W343" s="150"/>
    </row>
    <row r="344" spans="1:23" ht="15.75" x14ac:dyDescent="0.2">
      <c r="A344" s="124" t="str">
        <f t="shared" si="277"/>
        <v/>
      </c>
      <c r="B344" s="175"/>
      <c r="C344" s="175"/>
      <c r="D344" s="177"/>
      <c r="E344" s="178"/>
      <c r="F344" s="173"/>
      <c r="G344" s="172"/>
      <c r="H344" s="6"/>
      <c r="I344" s="3"/>
      <c r="J344" s="3"/>
      <c r="K344" s="147"/>
      <c r="L344" s="131"/>
      <c r="M344" s="131"/>
      <c r="N344" s="132"/>
      <c r="O344" s="174"/>
      <c r="P344" s="128"/>
      <c r="V344" s="3"/>
      <c r="W344" s="150"/>
    </row>
    <row r="345" spans="1:23" ht="18.75" x14ac:dyDescent="0.2">
      <c r="A345" s="124" t="str">
        <f t="shared" si="277"/>
        <v/>
      </c>
      <c r="B345" s="175"/>
      <c r="C345" s="175"/>
      <c r="D345" s="179" t="s">
        <v>135</v>
      </c>
      <c r="E345" s="178"/>
      <c r="F345" s="173"/>
      <c r="G345" s="172"/>
      <c r="H345" s="6"/>
      <c r="I345" s="3"/>
      <c r="J345" s="3"/>
      <c r="K345" s="147"/>
      <c r="L345" s="131"/>
      <c r="M345" s="131"/>
      <c r="N345" s="132"/>
      <c r="O345" s="174"/>
      <c r="P345" s="128"/>
      <c r="V345" s="3"/>
      <c r="W345" s="150"/>
    </row>
    <row r="346" spans="1:23" ht="15.75" x14ac:dyDescent="0.2">
      <c r="A346" s="124" t="str">
        <f t="shared" si="277"/>
        <v/>
      </c>
      <c r="B346" s="175"/>
      <c r="C346" s="175"/>
      <c r="D346" s="177" t="s">
        <v>121</v>
      </c>
      <c r="E346" s="178"/>
      <c r="F346" s="173"/>
      <c r="G346" s="172"/>
      <c r="H346" s="6"/>
      <c r="I346" s="3"/>
      <c r="J346" s="3"/>
      <c r="K346" s="147"/>
      <c r="L346" s="131"/>
      <c r="M346" s="131"/>
      <c r="N346" s="132"/>
      <c r="O346" s="174"/>
      <c r="P346" s="128"/>
      <c r="V346" s="3"/>
      <c r="W346" s="150"/>
    </row>
    <row r="347" spans="1:23" ht="18" customHeight="1" x14ac:dyDescent="0.2">
      <c r="A347" s="124" t="str">
        <f t="shared" si="277"/>
        <v/>
      </c>
      <c r="B347" s="175"/>
      <c r="C347" s="175"/>
      <c r="D347" s="181" t="s">
        <v>245</v>
      </c>
      <c r="E347" s="178"/>
      <c r="F347" s="173"/>
      <c r="G347" s="172"/>
      <c r="H347" s="6"/>
      <c r="I347" s="3"/>
      <c r="J347" s="3"/>
      <c r="K347" s="147"/>
      <c r="L347" s="131"/>
      <c r="M347" s="131"/>
      <c r="N347" s="132"/>
      <c r="O347" s="174"/>
      <c r="P347" s="128"/>
      <c r="V347" s="3"/>
      <c r="W347" s="150"/>
    </row>
    <row r="348" spans="1:23" ht="18" customHeight="1" x14ac:dyDescent="0.2">
      <c r="A348" s="124">
        <f t="shared" si="277"/>
        <v>174</v>
      </c>
      <c r="B348" s="175" t="s">
        <v>164</v>
      </c>
      <c r="C348" s="175" t="s">
        <v>243</v>
      </c>
      <c r="D348" s="177" t="s">
        <v>140</v>
      </c>
      <c r="E348" s="178">
        <f>929.74*2</f>
        <v>1859.48</v>
      </c>
      <c r="F348" s="173">
        <v>0.05</v>
      </c>
      <c r="G348" s="172">
        <f t="shared" ref="G348:G352" si="288">E348+(E348*F348)</f>
        <v>1952.454</v>
      </c>
      <c r="H348" s="6" t="s">
        <v>119</v>
      </c>
      <c r="I348" s="3">
        <v>2.9592499999999997E-2</v>
      </c>
      <c r="J348" s="3">
        <f t="shared" ref="J348:J351" si="289">I348*G348</f>
        <v>57.777994994999993</v>
      </c>
      <c r="K348" s="170">
        <v>48.89</v>
      </c>
      <c r="L348" s="150">
        <f t="shared" ref="L348:L351" si="290">K348*J348</f>
        <v>2824.7661753055495</v>
      </c>
      <c r="M348" s="150">
        <v>2.0113999999999996</v>
      </c>
      <c r="N348" s="171">
        <f t="shared" ref="N348:N351" si="291">M348*G348</f>
        <v>3927.165975599999</v>
      </c>
      <c r="O348" s="174">
        <f t="shared" ref="O348:O351" si="292">L348+N348</f>
        <v>6751.932150905548</v>
      </c>
      <c r="P348" s="128"/>
      <c r="V348" s="3"/>
      <c r="W348" s="150"/>
    </row>
    <row r="349" spans="1:23" ht="18" customHeight="1" x14ac:dyDescent="0.2">
      <c r="A349" s="124">
        <f t="shared" si="277"/>
        <v>175</v>
      </c>
      <c r="B349" s="175" t="s">
        <v>164</v>
      </c>
      <c r="C349" s="175" t="s">
        <v>243</v>
      </c>
      <c r="D349" s="177" t="s">
        <v>137</v>
      </c>
      <c r="E349" s="178">
        <f>929.74*3.17</f>
        <v>2947.2757999999999</v>
      </c>
      <c r="F349" s="173">
        <v>0.05</v>
      </c>
      <c r="G349" s="172">
        <f t="shared" si="288"/>
        <v>3094.6395899999998</v>
      </c>
      <c r="H349" s="6" t="s">
        <v>120</v>
      </c>
      <c r="I349" s="3">
        <v>2.0612399999999999E-2</v>
      </c>
      <c r="J349" s="3">
        <f t="shared" si="289"/>
        <v>63.787949084915994</v>
      </c>
      <c r="K349" s="170">
        <v>48.89</v>
      </c>
      <c r="L349" s="150">
        <f t="shared" si="290"/>
        <v>3118.5928307615432</v>
      </c>
      <c r="M349" s="150">
        <v>2.2071999999999998</v>
      </c>
      <c r="N349" s="171">
        <f t="shared" si="291"/>
        <v>6830.4885030479991</v>
      </c>
      <c r="O349" s="174">
        <f t="shared" si="292"/>
        <v>9949.0813338095431</v>
      </c>
      <c r="P349" s="128"/>
      <c r="V349" s="3"/>
      <c r="W349" s="150"/>
    </row>
    <row r="350" spans="1:23" ht="18" customHeight="1" x14ac:dyDescent="0.2">
      <c r="A350" s="124">
        <f t="shared" si="277"/>
        <v>176</v>
      </c>
      <c r="B350" s="175" t="s">
        <v>164</v>
      </c>
      <c r="C350" s="175" t="s">
        <v>243</v>
      </c>
      <c r="D350" s="177" t="s">
        <v>246</v>
      </c>
      <c r="E350" s="178">
        <f>929.74*3.17</f>
        <v>2947.2757999999999</v>
      </c>
      <c r="F350" s="173">
        <v>0.05</v>
      </c>
      <c r="G350" s="172">
        <f t="shared" si="288"/>
        <v>3094.6395899999998</v>
      </c>
      <c r="H350" s="6" t="s">
        <v>120</v>
      </c>
      <c r="I350" s="3">
        <v>2.1415624999999997E-2</v>
      </c>
      <c r="J350" s="3">
        <f t="shared" si="289"/>
        <v>66.273640969593743</v>
      </c>
      <c r="K350" s="170">
        <v>48.89</v>
      </c>
      <c r="L350" s="150">
        <f t="shared" si="290"/>
        <v>3240.1183070034381</v>
      </c>
      <c r="M350" s="150">
        <v>1.4418000000000002</v>
      </c>
      <c r="N350" s="171">
        <f t="shared" si="291"/>
        <v>4461.8513608620005</v>
      </c>
      <c r="O350" s="174">
        <f t="shared" si="292"/>
        <v>7701.9696678654382</v>
      </c>
      <c r="P350" s="128"/>
      <c r="V350" s="3"/>
      <c r="W350" s="150"/>
    </row>
    <row r="351" spans="1:23" ht="18" customHeight="1" x14ac:dyDescent="0.2">
      <c r="A351" s="124">
        <f t="shared" si="277"/>
        <v>177</v>
      </c>
      <c r="B351" s="175" t="s">
        <v>164</v>
      </c>
      <c r="C351" s="175" t="s">
        <v>243</v>
      </c>
      <c r="D351" s="177" t="s">
        <v>247</v>
      </c>
      <c r="E351" s="178">
        <f>929.74*3.17</f>
        <v>2947.2757999999999</v>
      </c>
      <c r="F351" s="173">
        <v>0.05</v>
      </c>
      <c r="G351" s="172">
        <f t="shared" si="288"/>
        <v>3094.6395899999998</v>
      </c>
      <c r="H351" s="6" t="s">
        <v>120</v>
      </c>
      <c r="I351" s="3">
        <v>2.0403249999999998E-2</v>
      </c>
      <c r="J351" s="3">
        <f t="shared" si="289"/>
        <v>63.140705214667491</v>
      </c>
      <c r="K351" s="170">
        <v>48.89</v>
      </c>
      <c r="L351" s="150">
        <f t="shared" si="290"/>
        <v>3086.9490779450939</v>
      </c>
      <c r="M351" s="150">
        <v>1.1659000000000002</v>
      </c>
      <c r="N351" s="171">
        <f t="shared" si="291"/>
        <v>3608.0402979810001</v>
      </c>
      <c r="O351" s="174">
        <f t="shared" si="292"/>
        <v>6694.989375926094</v>
      </c>
      <c r="P351" s="128"/>
      <c r="V351" s="3"/>
      <c r="W351" s="150"/>
    </row>
    <row r="352" spans="1:23" ht="18" customHeight="1" x14ac:dyDescent="0.2">
      <c r="A352" s="124">
        <f t="shared" si="277"/>
        <v>178</v>
      </c>
      <c r="B352" s="175" t="s">
        <v>164</v>
      </c>
      <c r="C352" s="175" t="s">
        <v>243</v>
      </c>
      <c r="D352" s="177" t="s">
        <v>136</v>
      </c>
      <c r="E352" s="178">
        <f>929.74*3.17/32*48</f>
        <v>4420.9137000000001</v>
      </c>
      <c r="F352" s="173">
        <v>0</v>
      </c>
      <c r="G352" s="172">
        <f t="shared" si="288"/>
        <v>4420.9137000000001</v>
      </c>
      <c r="H352" s="6" t="s">
        <v>118</v>
      </c>
      <c r="I352" s="3">
        <v>9.0913499999999998E-3</v>
      </c>
      <c r="J352" s="3">
        <f t="shared" ref="J352" si="293">I352*G352</f>
        <v>40.192073766495</v>
      </c>
      <c r="K352" s="170">
        <v>48.89</v>
      </c>
      <c r="L352" s="131">
        <f t="shared" ref="L352" si="294">K352*J352</f>
        <v>1964.9904864439407</v>
      </c>
      <c r="M352" s="150">
        <v>0.76539999999999997</v>
      </c>
      <c r="N352" s="132">
        <f t="shared" ref="N352" si="295">M352*G352</f>
        <v>3383.7673459799998</v>
      </c>
      <c r="O352" s="174">
        <f t="shared" ref="O352" si="296">L352+N352</f>
        <v>5348.7578324239403</v>
      </c>
      <c r="P352" s="128"/>
      <c r="V352" s="3"/>
      <c r="W352" s="150"/>
    </row>
    <row r="353" spans="1:23" ht="15.75" x14ac:dyDescent="0.2">
      <c r="A353" s="124" t="str">
        <f t="shared" si="277"/>
        <v/>
      </c>
      <c r="B353" s="175"/>
      <c r="C353" s="175"/>
      <c r="D353" s="177" t="s">
        <v>121</v>
      </c>
      <c r="E353" s="178"/>
      <c r="F353" s="173"/>
      <c r="G353" s="172"/>
      <c r="H353" s="6"/>
      <c r="I353" s="3"/>
      <c r="J353" s="3"/>
      <c r="K353" s="147"/>
      <c r="L353" s="131"/>
      <c r="M353" s="131"/>
      <c r="N353" s="132"/>
      <c r="O353" s="174"/>
      <c r="P353" s="128"/>
      <c r="V353" s="3"/>
      <c r="W353" s="150"/>
    </row>
    <row r="354" spans="1:23" ht="18" customHeight="1" x14ac:dyDescent="0.2">
      <c r="A354" s="124" t="str">
        <f t="shared" si="277"/>
        <v/>
      </c>
      <c r="B354" s="175"/>
      <c r="C354" s="175"/>
      <c r="D354" s="181" t="s">
        <v>250</v>
      </c>
      <c r="E354" s="178"/>
      <c r="F354" s="173"/>
      <c r="G354" s="172"/>
      <c r="H354" s="6"/>
      <c r="I354" s="3"/>
      <c r="J354" s="3"/>
      <c r="K354" s="147"/>
      <c r="L354" s="131"/>
      <c r="M354" s="131"/>
      <c r="N354" s="132"/>
      <c r="O354" s="174"/>
      <c r="P354" s="128"/>
      <c r="V354" s="3"/>
      <c r="W354" s="150"/>
    </row>
    <row r="355" spans="1:23" ht="18" customHeight="1" x14ac:dyDescent="0.2">
      <c r="A355" s="124">
        <f t="shared" si="277"/>
        <v>179</v>
      </c>
      <c r="B355" s="175" t="s">
        <v>164</v>
      </c>
      <c r="C355" s="175" t="s">
        <v>268</v>
      </c>
      <c r="D355" s="177" t="s">
        <v>140</v>
      </c>
      <c r="E355" s="178">
        <f>(146.17+734.06+34.69)*2</f>
        <v>1829.8399999999997</v>
      </c>
      <c r="F355" s="173">
        <v>0.05</v>
      </c>
      <c r="G355" s="172">
        <f t="shared" ref="G355:G357" si="297">E355+(E355*F355)</f>
        <v>1921.3319999999997</v>
      </c>
      <c r="H355" s="6" t="s">
        <v>119</v>
      </c>
      <c r="I355" s="3">
        <v>2.9592499999999997E-2</v>
      </c>
      <c r="J355" s="3">
        <f t="shared" ref="J355:J357" si="298">I355*G355</f>
        <v>56.857017209999988</v>
      </c>
      <c r="K355" s="170">
        <v>48.89</v>
      </c>
      <c r="L355" s="150">
        <f t="shared" ref="L355:L357" si="299">K355*J355</f>
        <v>2779.7395713968995</v>
      </c>
      <c r="M355" s="150">
        <v>2.0113999999999996</v>
      </c>
      <c r="N355" s="171">
        <f t="shared" ref="N355:N357" si="300">M355*G355</f>
        <v>3864.5671847999988</v>
      </c>
      <c r="O355" s="174">
        <f t="shared" ref="O355:O357" si="301">L355+N355</f>
        <v>6644.3067561968983</v>
      </c>
      <c r="P355" s="128"/>
      <c r="V355" s="3"/>
      <c r="W355" s="150"/>
    </row>
    <row r="356" spans="1:23" ht="18" customHeight="1" x14ac:dyDescent="0.2">
      <c r="A356" s="124">
        <f t="shared" si="277"/>
        <v>180</v>
      </c>
      <c r="B356" s="175" t="s">
        <v>164</v>
      </c>
      <c r="C356" s="175" t="s">
        <v>268</v>
      </c>
      <c r="D356" s="177" t="s">
        <v>137</v>
      </c>
      <c r="E356" s="178">
        <f>(146.17+734.06)*0.83+(34.69*1.42)</f>
        <v>779.85069999999996</v>
      </c>
      <c r="F356" s="173">
        <v>0.05</v>
      </c>
      <c r="G356" s="172">
        <f t="shared" si="297"/>
        <v>818.84323499999994</v>
      </c>
      <c r="H356" s="6" t="s">
        <v>120</v>
      </c>
      <c r="I356" s="3">
        <v>2.0612399999999999E-2</v>
      </c>
      <c r="J356" s="3">
        <f t="shared" si="298"/>
        <v>16.878324297113998</v>
      </c>
      <c r="K356" s="170">
        <v>48.89</v>
      </c>
      <c r="L356" s="150">
        <f t="shared" si="299"/>
        <v>825.18127488590335</v>
      </c>
      <c r="M356" s="150">
        <v>2.2071999999999998</v>
      </c>
      <c r="N356" s="171">
        <f t="shared" si="300"/>
        <v>1807.3507882919996</v>
      </c>
      <c r="O356" s="174">
        <f t="shared" si="301"/>
        <v>2632.5320631779032</v>
      </c>
      <c r="P356" s="128"/>
      <c r="V356" s="3"/>
      <c r="W356" s="150"/>
    </row>
    <row r="357" spans="1:23" ht="18" customHeight="1" x14ac:dyDescent="0.2">
      <c r="A357" s="124">
        <f t="shared" si="277"/>
        <v>181</v>
      </c>
      <c r="B357" s="175" t="s">
        <v>164</v>
      </c>
      <c r="C357" s="175" t="s">
        <v>268</v>
      </c>
      <c r="D357" s="177" t="s">
        <v>138</v>
      </c>
      <c r="E357" s="178">
        <f>(34.69*1.42)</f>
        <v>49.259799999999991</v>
      </c>
      <c r="F357" s="173">
        <v>0.05</v>
      </c>
      <c r="G357" s="172">
        <f t="shared" si="297"/>
        <v>51.722789999999989</v>
      </c>
      <c r="H357" s="6" t="s">
        <v>120</v>
      </c>
      <c r="I357" s="3">
        <v>2.0636874999999996E-2</v>
      </c>
      <c r="J357" s="3">
        <f t="shared" si="298"/>
        <v>1.0673967518812495</v>
      </c>
      <c r="K357" s="170">
        <v>48.89</v>
      </c>
      <c r="L357" s="150">
        <f t="shared" si="299"/>
        <v>52.185027199474291</v>
      </c>
      <c r="M357" s="150">
        <v>1.5330250000000001</v>
      </c>
      <c r="N357" s="171">
        <f t="shared" si="300"/>
        <v>79.292330139749993</v>
      </c>
      <c r="O357" s="174">
        <f t="shared" si="301"/>
        <v>131.47735733922428</v>
      </c>
      <c r="P357" s="128"/>
      <c r="V357" s="3"/>
      <c r="W357" s="150"/>
    </row>
    <row r="358" spans="1:23" ht="15.75" x14ac:dyDescent="0.2">
      <c r="A358" s="124" t="str">
        <f t="shared" si="277"/>
        <v/>
      </c>
      <c r="B358" s="175"/>
      <c r="C358" s="175"/>
      <c r="D358" s="177"/>
      <c r="E358" s="178"/>
      <c r="F358" s="173"/>
      <c r="G358" s="172"/>
      <c r="H358" s="6"/>
      <c r="I358" s="3"/>
      <c r="J358" s="3"/>
      <c r="K358" s="147"/>
      <c r="L358" s="131"/>
      <c r="M358" s="131"/>
      <c r="N358" s="132"/>
      <c r="O358" s="174"/>
      <c r="P358" s="128"/>
      <c r="V358" s="3"/>
      <c r="W358" s="150"/>
    </row>
    <row r="359" spans="1:23" ht="18" customHeight="1" x14ac:dyDescent="0.2">
      <c r="A359" s="124" t="str">
        <f t="shared" si="277"/>
        <v/>
      </c>
      <c r="B359" s="175"/>
      <c r="C359" s="175"/>
      <c r="D359" s="181" t="s">
        <v>260</v>
      </c>
      <c r="E359" s="178"/>
      <c r="F359" s="173"/>
      <c r="G359" s="172"/>
      <c r="H359" s="6"/>
      <c r="I359" s="3"/>
      <c r="J359" s="3"/>
      <c r="K359" s="147"/>
      <c r="L359" s="131"/>
      <c r="M359" s="131"/>
      <c r="N359" s="132"/>
      <c r="O359" s="174"/>
      <c r="P359" s="128"/>
      <c r="V359" s="3"/>
      <c r="W359" s="150"/>
    </row>
    <row r="360" spans="1:23" ht="18" customHeight="1" x14ac:dyDescent="0.2">
      <c r="A360" s="124">
        <f t="shared" si="277"/>
        <v>182</v>
      </c>
      <c r="B360" s="175" t="s">
        <v>164</v>
      </c>
      <c r="C360" s="175" t="s">
        <v>267</v>
      </c>
      <c r="D360" s="177" t="s">
        <v>140</v>
      </c>
      <c r="E360" s="178">
        <f>687.27*2</f>
        <v>1374.54</v>
      </c>
      <c r="F360" s="173">
        <v>0.05</v>
      </c>
      <c r="G360" s="172">
        <f t="shared" ref="G360:G365" si="302">E360+(E360*F360)</f>
        <v>1443.2670000000001</v>
      </c>
      <c r="H360" s="6" t="s">
        <v>119</v>
      </c>
      <c r="I360" s="3">
        <v>2.9592499999999997E-2</v>
      </c>
      <c r="J360" s="3">
        <f t="shared" ref="J360:J365" si="303">I360*G360</f>
        <v>42.709878697499995</v>
      </c>
      <c r="K360" s="170">
        <v>48.89</v>
      </c>
      <c r="L360" s="150">
        <f t="shared" ref="L360:L365" si="304">K360*J360</f>
        <v>2088.0859695207746</v>
      </c>
      <c r="M360" s="150">
        <v>2.0113999999999996</v>
      </c>
      <c r="N360" s="171">
        <f t="shared" ref="N360:N365" si="305">M360*G360</f>
        <v>2902.9872437999998</v>
      </c>
      <c r="O360" s="174">
        <f t="shared" ref="O360:O365" si="306">L360+N360</f>
        <v>4991.0732133207748</v>
      </c>
      <c r="P360" s="128"/>
      <c r="V360" s="3"/>
      <c r="W360" s="150"/>
    </row>
    <row r="361" spans="1:23" ht="18" customHeight="1" x14ac:dyDescent="0.2">
      <c r="A361" s="124">
        <f t="shared" si="277"/>
        <v>183</v>
      </c>
      <c r="B361" s="175" t="s">
        <v>164</v>
      </c>
      <c r="C361" s="175" t="s">
        <v>267</v>
      </c>
      <c r="D361" s="177" t="s">
        <v>137</v>
      </c>
      <c r="E361" s="178">
        <f>687.27*3</f>
        <v>2061.81</v>
      </c>
      <c r="F361" s="173">
        <v>0.05</v>
      </c>
      <c r="G361" s="172">
        <f t="shared" si="302"/>
        <v>2164.9004999999997</v>
      </c>
      <c r="H361" s="6" t="s">
        <v>120</v>
      </c>
      <c r="I361" s="3">
        <v>2.0612399999999999E-2</v>
      </c>
      <c r="J361" s="3">
        <f t="shared" si="303"/>
        <v>44.623795066199996</v>
      </c>
      <c r="K361" s="170">
        <v>48.89</v>
      </c>
      <c r="L361" s="150">
        <f t="shared" si="304"/>
        <v>2181.657340786518</v>
      </c>
      <c r="M361" s="150">
        <v>2.2071999999999998</v>
      </c>
      <c r="N361" s="171">
        <f t="shared" si="305"/>
        <v>4778.3683835999991</v>
      </c>
      <c r="O361" s="174">
        <f t="shared" si="306"/>
        <v>6960.0257243865171</v>
      </c>
      <c r="P361" s="128"/>
      <c r="V361" s="3"/>
      <c r="W361" s="150"/>
    </row>
    <row r="362" spans="1:23" ht="18" customHeight="1" x14ac:dyDescent="0.2">
      <c r="A362" s="124">
        <f t="shared" si="277"/>
        <v>184</v>
      </c>
      <c r="B362" s="175" t="s">
        <v>164</v>
      </c>
      <c r="C362" s="175" t="s">
        <v>267</v>
      </c>
      <c r="D362" s="177" t="s">
        <v>138</v>
      </c>
      <c r="E362" s="178">
        <f>687.27*1.67</f>
        <v>1147.7409</v>
      </c>
      <c r="F362" s="173">
        <v>0.05</v>
      </c>
      <c r="G362" s="172">
        <f t="shared" si="302"/>
        <v>1205.127945</v>
      </c>
      <c r="H362" s="6" t="s">
        <v>120</v>
      </c>
      <c r="I362" s="3">
        <v>2.0636874999999996E-2</v>
      </c>
      <c r="J362" s="3">
        <f t="shared" si="303"/>
        <v>24.870074759971867</v>
      </c>
      <c r="K362" s="170">
        <v>48.89</v>
      </c>
      <c r="L362" s="150">
        <f t="shared" si="304"/>
        <v>1215.8979550150245</v>
      </c>
      <c r="M362" s="150">
        <v>1.5330250000000001</v>
      </c>
      <c r="N362" s="171">
        <f t="shared" si="305"/>
        <v>1847.4912678836251</v>
      </c>
      <c r="O362" s="174">
        <f t="shared" si="306"/>
        <v>3063.3892228986497</v>
      </c>
      <c r="P362" s="128"/>
      <c r="V362" s="3"/>
      <c r="W362" s="150"/>
    </row>
    <row r="363" spans="1:23" ht="18" customHeight="1" x14ac:dyDescent="0.2">
      <c r="A363" s="124">
        <f t="shared" si="277"/>
        <v>185</v>
      </c>
      <c r="B363" s="175" t="s">
        <v>164</v>
      </c>
      <c r="C363" s="175" t="s">
        <v>267</v>
      </c>
      <c r="D363" s="177" t="s">
        <v>251</v>
      </c>
      <c r="E363" s="178">
        <f>687.27*3*2</f>
        <v>4123.62</v>
      </c>
      <c r="F363" s="173">
        <v>0.05</v>
      </c>
      <c r="G363" s="172">
        <f t="shared" si="302"/>
        <v>4329.8009999999995</v>
      </c>
      <c r="H363" s="6" t="s">
        <v>120</v>
      </c>
      <c r="I363" s="3">
        <v>2.1415624999999997E-2</v>
      </c>
      <c r="J363" s="3">
        <f t="shared" si="303"/>
        <v>92.725394540624976</v>
      </c>
      <c r="K363" s="170">
        <v>48.89</v>
      </c>
      <c r="L363" s="150">
        <f t="shared" si="304"/>
        <v>4533.3445390911547</v>
      </c>
      <c r="M363" s="150">
        <v>1.7177</v>
      </c>
      <c r="N363" s="171">
        <f t="shared" si="305"/>
        <v>7437.2991776999988</v>
      </c>
      <c r="O363" s="174">
        <f t="shared" si="306"/>
        <v>11970.643716791154</v>
      </c>
      <c r="P363" s="128"/>
      <c r="V363" s="3"/>
      <c r="W363" s="150"/>
    </row>
    <row r="364" spans="1:23" ht="18" customHeight="1" x14ac:dyDescent="0.2">
      <c r="A364" s="124">
        <f t="shared" si="277"/>
        <v>186</v>
      </c>
      <c r="B364" s="175" t="s">
        <v>164</v>
      </c>
      <c r="C364" s="175" t="s">
        <v>267</v>
      </c>
      <c r="D364" s="177" t="s">
        <v>144</v>
      </c>
      <c r="E364" s="178">
        <f>687.27*3</f>
        <v>2061.81</v>
      </c>
      <c r="F364" s="173">
        <v>0.05</v>
      </c>
      <c r="G364" s="172">
        <f t="shared" si="302"/>
        <v>2164.9004999999997</v>
      </c>
      <c r="H364" s="6" t="s">
        <v>120</v>
      </c>
      <c r="I364" s="3">
        <v>2.0403249999999998E-2</v>
      </c>
      <c r="J364" s="3">
        <f t="shared" si="303"/>
        <v>44.171006126624988</v>
      </c>
      <c r="K364" s="170">
        <v>48.89</v>
      </c>
      <c r="L364" s="150">
        <f t="shared" si="304"/>
        <v>2159.5204895306956</v>
      </c>
      <c r="M364" s="150">
        <v>1.1659000000000002</v>
      </c>
      <c r="N364" s="171">
        <f t="shared" si="305"/>
        <v>2524.0574929499999</v>
      </c>
      <c r="O364" s="174">
        <f t="shared" si="306"/>
        <v>4683.5779824806959</v>
      </c>
      <c r="P364" s="128"/>
      <c r="V364" s="3"/>
      <c r="W364" s="150"/>
    </row>
    <row r="365" spans="1:23" ht="18" customHeight="1" x14ac:dyDescent="0.2">
      <c r="A365" s="124">
        <f t="shared" si="277"/>
        <v>187</v>
      </c>
      <c r="B365" s="175" t="s">
        <v>164</v>
      </c>
      <c r="C365" s="175" t="s">
        <v>267</v>
      </c>
      <c r="D365" s="177" t="s">
        <v>136</v>
      </c>
      <c r="E365" s="178">
        <f>4124/32*48</f>
        <v>6186</v>
      </c>
      <c r="F365" s="173">
        <v>0</v>
      </c>
      <c r="G365" s="172">
        <f t="shared" si="302"/>
        <v>6186</v>
      </c>
      <c r="H365" s="6" t="s">
        <v>118</v>
      </c>
      <c r="I365" s="3">
        <v>9.0913499999999998E-3</v>
      </c>
      <c r="J365" s="3">
        <f t="shared" si="303"/>
        <v>56.239091099999996</v>
      </c>
      <c r="K365" s="170">
        <v>48.89</v>
      </c>
      <c r="L365" s="131">
        <f t="shared" si="304"/>
        <v>2749.529163879</v>
      </c>
      <c r="M365" s="150">
        <v>0.76539999999999997</v>
      </c>
      <c r="N365" s="132">
        <f t="shared" si="305"/>
        <v>4734.7644</v>
      </c>
      <c r="O365" s="174">
        <f t="shared" si="306"/>
        <v>7484.2935638790004</v>
      </c>
      <c r="P365" s="128"/>
      <c r="V365" s="3"/>
      <c r="W365" s="150"/>
    </row>
    <row r="366" spans="1:23" ht="15.75" x14ac:dyDescent="0.2">
      <c r="A366" s="124" t="str">
        <f t="shared" si="277"/>
        <v/>
      </c>
      <c r="B366" s="175"/>
      <c r="C366" s="175"/>
      <c r="D366" s="177"/>
      <c r="E366" s="178"/>
      <c r="F366" s="173"/>
      <c r="G366" s="172"/>
      <c r="H366" s="6"/>
      <c r="I366" s="3"/>
      <c r="J366" s="3"/>
      <c r="K366" s="147"/>
      <c r="L366" s="131"/>
      <c r="M366" s="131"/>
      <c r="N366" s="132"/>
      <c r="O366" s="174"/>
      <c r="P366" s="128"/>
      <c r="V366" s="3"/>
      <c r="W366" s="150"/>
    </row>
    <row r="367" spans="1:23" ht="18" customHeight="1" x14ac:dyDescent="0.2">
      <c r="A367" s="124" t="str">
        <f t="shared" si="277"/>
        <v/>
      </c>
      <c r="B367" s="175"/>
      <c r="C367" s="175"/>
      <c r="D367" s="181" t="s">
        <v>252</v>
      </c>
      <c r="E367" s="178"/>
      <c r="F367" s="173"/>
      <c r="G367" s="172"/>
      <c r="H367" s="6"/>
      <c r="I367" s="3"/>
      <c r="J367" s="3"/>
      <c r="K367" s="147"/>
      <c r="L367" s="131"/>
      <c r="M367" s="131"/>
      <c r="N367" s="132"/>
      <c r="O367" s="174"/>
      <c r="P367" s="128"/>
      <c r="V367" s="3"/>
      <c r="W367" s="150"/>
    </row>
    <row r="368" spans="1:23" ht="18" customHeight="1" x14ac:dyDescent="0.2">
      <c r="A368" s="124">
        <f t="shared" si="277"/>
        <v>188</v>
      </c>
      <c r="B368" s="175" t="s">
        <v>164</v>
      </c>
      <c r="C368" s="175" t="s">
        <v>253</v>
      </c>
      <c r="D368" s="177" t="s">
        <v>140</v>
      </c>
      <c r="E368" s="178">
        <f>472.56*2</f>
        <v>945.12</v>
      </c>
      <c r="F368" s="173">
        <v>0.05</v>
      </c>
      <c r="G368" s="172">
        <f t="shared" ref="G368:G373" si="307">E368+(E368*F368)</f>
        <v>992.37599999999998</v>
      </c>
      <c r="H368" s="6" t="s">
        <v>119</v>
      </c>
      <c r="I368" s="3">
        <v>2.9592499999999997E-2</v>
      </c>
      <c r="J368" s="3">
        <f t="shared" ref="J368:J373" si="308">I368*G368</f>
        <v>29.366886779999998</v>
      </c>
      <c r="K368" s="170">
        <v>48.89</v>
      </c>
      <c r="L368" s="150">
        <f t="shared" ref="L368:L373" si="309">K368*J368</f>
        <v>1435.7470946741998</v>
      </c>
      <c r="M368" s="150">
        <v>2.0113999999999996</v>
      </c>
      <c r="N368" s="171">
        <f t="shared" ref="N368:N373" si="310">M368*G368</f>
        <v>1996.0650863999997</v>
      </c>
      <c r="O368" s="174">
        <f t="shared" ref="O368:O373" si="311">L368+N368</f>
        <v>3431.8121810741995</v>
      </c>
      <c r="P368" s="128"/>
      <c r="V368" s="3"/>
      <c r="W368" s="150"/>
    </row>
    <row r="369" spans="1:23" ht="18" customHeight="1" x14ac:dyDescent="0.2">
      <c r="A369" s="124">
        <f t="shared" si="277"/>
        <v>189</v>
      </c>
      <c r="B369" s="175" t="s">
        <v>164</v>
      </c>
      <c r="C369" s="175" t="s">
        <v>253</v>
      </c>
      <c r="D369" s="177" t="s">
        <v>137</v>
      </c>
      <c r="E369" s="178">
        <f>472.56*4.42</f>
        <v>2088.7152000000001</v>
      </c>
      <c r="F369" s="173">
        <v>0.05</v>
      </c>
      <c r="G369" s="172">
        <f t="shared" si="307"/>
        <v>2193.1509599999999</v>
      </c>
      <c r="H369" s="6" t="s">
        <v>120</v>
      </c>
      <c r="I369" s="3">
        <v>2.0612399999999999E-2</v>
      </c>
      <c r="J369" s="3">
        <f t="shared" si="308"/>
        <v>45.206104847904001</v>
      </c>
      <c r="K369" s="170">
        <v>48.89</v>
      </c>
      <c r="L369" s="150">
        <f t="shared" si="309"/>
        <v>2210.1264660140268</v>
      </c>
      <c r="M369" s="150">
        <v>2.2071999999999998</v>
      </c>
      <c r="N369" s="171">
        <f t="shared" si="310"/>
        <v>4840.7227989119992</v>
      </c>
      <c r="O369" s="174">
        <f t="shared" si="311"/>
        <v>7050.8492649260261</v>
      </c>
      <c r="P369" s="128"/>
      <c r="V369" s="3"/>
      <c r="W369" s="150"/>
    </row>
    <row r="370" spans="1:23" ht="18" customHeight="1" x14ac:dyDescent="0.2">
      <c r="A370" s="124">
        <f t="shared" si="277"/>
        <v>190</v>
      </c>
      <c r="B370" s="175" t="s">
        <v>164</v>
      </c>
      <c r="C370" s="175" t="s">
        <v>253</v>
      </c>
      <c r="D370" s="177" t="s">
        <v>138</v>
      </c>
      <c r="E370" s="178">
        <f>472.56*1.67</f>
        <v>789.17520000000002</v>
      </c>
      <c r="F370" s="173">
        <v>0.05</v>
      </c>
      <c r="G370" s="172">
        <f t="shared" si="307"/>
        <v>828.63396</v>
      </c>
      <c r="H370" s="6" t="s">
        <v>120</v>
      </c>
      <c r="I370" s="3">
        <v>2.0636874999999996E-2</v>
      </c>
      <c r="J370" s="3">
        <f t="shared" si="308"/>
        <v>17.100415453274998</v>
      </c>
      <c r="K370" s="170">
        <v>48.89</v>
      </c>
      <c r="L370" s="150">
        <f t="shared" si="309"/>
        <v>836.03931151061465</v>
      </c>
      <c r="M370" s="150">
        <v>1.5330250000000001</v>
      </c>
      <c r="N370" s="171">
        <f t="shared" si="310"/>
        <v>1270.316576529</v>
      </c>
      <c r="O370" s="174">
        <f t="shared" si="311"/>
        <v>2106.3558880396149</v>
      </c>
      <c r="P370" s="128"/>
      <c r="V370" s="3"/>
      <c r="W370" s="150"/>
    </row>
    <row r="371" spans="1:23" ht="18" customHeight="1" x14ac:dyDescent="0.2">
      <c r="A371" s="124">
        <f t="shared" si="277"/>
        <v>191</v>
      </c>
      <c r="B371" s="175" t="s">
        <v>164</v>
      </c>
      <c r="C371" s="175" t="s">
        <v>253</v>
      </c>
      <c r="D371" s="177" t="s">
        <v>251</v>
      </c>
      <c r="E371" s="178">
        <f>472.56*4.42*2</f>
        <v>4177.4304000000002</v>
      </c>
      <c r="F371" s="173">
        <v>0.05</v>
      </c>
      <c r="G371" s="172">
        <f t="shared" si="307"/>
        <v>4386.3019199999999</v>
      </c>
      <c r="H371" s="6" t="s">
        <v>120</v>
      </c>
      <c r="I371" s="3">
        <v>2.1415624999999997E-2</v>
      </c>
      <c r="J371" s="3">
        <f t="shared" si="308"/>
        <v>93.93539705549999</v>
      </c>
      <c r="K371" s="170">
        <v>48.89</v>
      </c>
      <c r="L371" s="150">
        <f t="shared" si="309"/>
        <v>4592.5015620433942</v>
      </c>
      <c r="M371" s="150">
        <v>1.7177</v>
      </c>
      <c r="N371" s="171">
        <f t="shared" si="310"/>
        <v>7534.3508079839994</v>
      </c>
      <c r="O371" s="174">
        <f t="shared" si="311"/>
        <v>12126.852370027394</v>
      </c>
      <c r="P371" s="128"/>
      <c r="V371" s="3"/>
      <c r="W371" s="150"/>
    </row>
    <row r="372" spans="1:23" ht="18" customHeight="1" x14ac:dyDescent="0.2">
      <c r="A372" s="124">
        <f t="shared" si="277"/>
        <v>192</v>
      </c>
      <c r="B372" s="175" t="s">
        <v>164</v>
      </c>
      <c r="C372" s="175" t="s">
        <v>253</v>
      </c>
      <c r="D372" s="177" t="s">
        <v>144</v>
      </c>
      <c r="E372" s="178">
        <f>472.56*4.42</f>
        <v>2088.7152000000001</v>
      </c>
      <c r="F372" s="173">
        <v>0.05</v>
      </c>
      <c r="G372" s="172">
        <f t="shared" si="307"/>
        <v>2193.1509599999999</v>
      </c>
      <c r="H372" s="6" t="s">
        <v>120</v>
      </c>
      <c r="I372" s="3">
        <v>2.0403249999999998E-2</v>
      </c>
      <c r="J372" s="3">
        <f t="shared" si="308"/>
        <v>44.747407324619992</v>
      </c>
      <c r="K372" s="170">
        <v>48.89</v>
      </c>
      <c r="L372" s="150">
        <f t="shared" si="309"/>
        <v>2187.7007441006713</v>
      </c>
      <c r="M372" s="150">
        <v>1.1659000000000002</v>
      </c>
      <c r="N372" s="171">
        <f t="shared" si="310"/>
        <v>2556.9947042640001</v>
      </c>
      <c r="O372" s="174">
        <f t="shared" si="311"/>
        <v>4744.6954483646714</v>
      </c>
      <c r="P372" s="128"/>
      <c r="V372" s="3"/>
      <c r="W372" s="150"/>
    </row>
    <row r="373" spans="1:23" ht="18" customHeight="1" x14ac:dyDescent="0.2">
      <c r="A373" s="124">
        <f t="shared" si="277"/>
        <v>193</v>
      </c>
      <c r="B373" s="175" t="s">
        <v>164</v>
      </c>
      <c r="C373" s="175" t="s">
        <v>253</v>
      </c>
      <c r="D373" s="177" t="s">
        <v>136</v>
      </c>
      <c r="E373" s="178">
        <f>4177/32*48</f>
        <v>6265.5</v>
      </c>
      <c r="F373" s="173">
        <v>0</v>
      </c>
      <c r="G373" s="172">
        <f t="shared" si="307"/>
        <v>6265.5</v>
      </c>
      <c r="H373" s="6" t="s">
        <v>118</v>
      </c>
      <c r="I373" s="3">
        <v>9.0913499999999998E-3</v>
      </c>
      <c r="J373" s="3">
        <f t="shared" si="308"/>
        <v>56.961853425000001</v>
      </c>
      <c r="K373" s="170">
        <v>48.89</v>
      </c>
      <c r="L373" s="131">
        <f t="shared" si="309"/>
        <v>2784.8650139482502</v>
      </c>
      <c r="M373" s="150">
        <v>0.76539999999999997</v>
      </c>
      <c r="N373" s="132">
        <f t="shared" si="310"/>
        <v>4795.6136999999999</v>
      </c>
      <c r="O373" s="174">
        <f t="shared" si="311"/>
        <v>7580.4787139482505</v>
      </c>
      <c r="P373" s="128"/>
      <c r="V373" s="3"/>
      <c r="W373" s="150"/>
    </row>
    <row r="374" spans="1:23" ht="15.75" x14ac:dyDescent="0.2">
      <c r="A374" s="124" t="str">
        <f t="shared" si="277"/>
        <v/>
      </c>
      <c r="B374" s="175"/>
      <c r="C374" s="175"/>
      <c r="D374" s="177"/>
      <c r="E374" s="178"/>
      <c r="F374" s="173"/>
      <c r="G374" s="172"/>
      <c r="H374" s="6"/>
      <c r="I374" s="3"/>
      <c r="J374" s="3"/>
      <c r="K374" s="147"/>
      <c r="L374" s="131"/>
      <c r="M374" s="131"/>
      <c r="N374" s="132"/>
      <c r="O374" s="174"/>
      <c r="P374" s="128"/>
      <c r="V374" s="3"/>
      <c r="W374" s="150"/>
    </row>
    <row r="375" spans="1:23" ht="18" customHeight="1" x14ac:dyDescent="0.2">
      <c r="A375" s="124" t="str">
        <f t="shared" si="277"/>
        <v/>
      </c>
      <c r="B375" s="175"/>
      <c r="C375" s="175"/>
      <c r="D375" s="181" t="s">
        <v>261</v>
      </c>
      <c r="E375" s="178"/>
      <c r="F375" s="173"/>
      <c r="G375" s="172"/>
      <c r="H375" s="6"/>
      <c r="I375" s="3"/>
      <c r="J375" s="3"/>
      <c r="K375" s="147"/>
      <c r="L375" s="131"/>
      <c r="M375" s="131"/>
      <c r="N375" s="132"/>
      <c r="O375" s="174"/>
      <c r="P375" s="128"/>
      <c r="V375" s="3"/>
      <c r="W375" s="150"/>
    </row>
    <row r="376" spans="1:23" ht="18" customHeight="1" x14ac:dyDescent="0.2">
      <c r="A376" s="124">
        <f t="shared" si="277"/>
        <v>194</v>
      </c>
      <c r="B376" s="175" t="s">
        <v>164</v>
      </c>
      <c r="C376" s="175" t="s">
        <v>262</v>
      </c>
      <c r="D376" s="177" t="s">
        <v>140</v>
      </c>
      <c r="E376" s="178">
        <f>96.91*2</f>
        <v>193.82</v>
      </c>
      <c r="F376" s="173">
        <v>0.05</v>
      </c>
      <c r="G376" s="172">
        <f t="shared" ref="G376:G381" si="312">E376+(E376*F376)</f>
        <v>203.511</v>
      </c>
      <c r="H376" s="6" t="s">
        <v>119</v>
      </c>
      <c r="I376" s="3">
        <v>2.9592499999999997E-2</v>
      </c>
      <c r="J376" s="3">
        <f t="shared" ref="J376:J381" si="313">I376*G376</f>
        <v>6.0223992674999991</v>
      </c>
      <c r="K376" s="170">
        <v>48.89</v>
      </c>
      <c r="L376" s="150">
        <f t="shared" ref="L376:L381" si="314">K376*J376</f>
        <v>294.43510018807495</v>
      </c>
      <c r="M376" s="150">
        <v>2.0113999999999996</v>
      </c>
      <c r="N376" s="171">
        <f t="shared" ref="N376:N381" si="315">M376*G376</f>
        <v>409.3420253999999</v>
      </c>
      <c r="O376" s="174">
        <f t="shared" ref="O376:O381" si="316">L376+N376</f>
        <v>703.7771255880748</v>
      </c>
      <c r="P376" s="128"/>
      <c r="V376" s="3"/>
      <c r="W376" s="150"/>
    </row>
    <row r="377" spans="1:23" ht="18" customHeight="1" x14ac:dyDescent="0.2">
      <c r="A377" s="124">
        <f t="shared" si="277"/>
        <v>195</v>
      </c>
      <c r="B377" s="175" t="s">
        <v>164</v>
      </c>
      <c r="C377" s="175" t="s">
        <v>262</v>
      </c>
      <c r="D377" s="177" t="s">
        <v>137</v>
      </c>
      <c r="E377" s="178">
        <f>96.91*5.33</f>
        <v>516.53030000000001</v>
      </c>
      <c r="F377" s="173">
        <v>0.05</v>
      </c>
      <c r="G377" s="172">
        <f t="shared" si="312"/>
        <v>542.35681499999998</v>
      </c>
      <c r="H377" s="6" t="s">
        <v>120</v>
      </c>
      <c r="I377" s="3">
        <v>2.0612399999999999E-2</v>
      </c>
      <c r="J377" s="3">
        <f t="shared" si="313"/>
        <v>11.179275613505999</v>
      </c>
      <c r="K377" s="170">
        <v>48.89</v>
      </c>
      <c r="L377" s="150">
        <f t="shared" si="314"/>
        <v>546.55478474430822</v>
      </c>
      <c r="M377" s="150">
        <v>2.2071999999999998</v>
      </c>
      <c r="N377" s="171">
        <f t="shared" si="315"/>
        <v>1197.089962068</v>
      </c>
      <c r="O377" s="174">
        <f t="shared" si="316"/>
        <v>1743.6447468123083</v>
      </c>
      <c r="P377" s="128"/>
      <c r="V377" s="3"/>
      <c r="W377" s="150"/>
    </row>
    <row r="378" spans="1:23" ht="18" customHeight="1" x14ac:dyDescent="0.2">
      <c r="A378" s="124">
        <f t="shared" si="277"/>
        <v>196</v>
      </c>
      <c r="B378" s="175" t="s">
        <v>164</v>
      </c>
      <c r="C378" s="175" t="s">
        <v>262</v>
      </c>
      <c r="D378" s="177" t="s">
        <v>138</v>
      </c>
      <c r="E378" s="178">
        <f>96.91*1.67</f>
        <v>161.83969999999999</v>
      </c>
      <c r="F378" s="173">
        <v>0.05</v>
      </c>
      <c r="G378" s="172">
        <f t="shared" si="312"/>
        <v>169.93168499999999</v>
      </c>
      <c r="H378" s="6" t="s">
        <v>120</v>
      </c>
      <c r="I378" s="3">
        <v>2.0636874999999996E-2</v>
      </c>
      <c r="J378" s="3">
        <f t="shared" si="313"/>
        <v>3.5068589418843739</v>
      </c>
      <c r="K378" s="170">
        <v>48.89</v>
      </c>
      <c r="L378" s="150">
        <f t="shared" si="314"/>
        <v>171.45033366872704</v>
      </c>
      <c r="M378" s="150">
        <v>1.5330250000000001</v>
      </c>
      <c r="N378" s="171">
        <f t="shared" si="315"/>
        <v>260.50952139712501</v>
      </c>
      <c r="O378" s="174">
        <f t="shared" si="316"/>
        <v>431.95985506585203</v>
      </c>
      <c r="P378" s="128"/>
      <c r="V378" s="3"/>
      <c r="W378" s="150"/>
    </row>
    <row r="379" spans="1:23" ht="18" customHeight="1" x14ac:dyDescent="0.2">
      <c r="A379" s="124">
        <f t="shared" si="277"/>
        <v>197</v>
      </c>
      <c r="B379" s="175" t="s">
        <v>164</v>
      </c>
      <c r="C379" s="175" t="s">
        <v>262</v>
      </c>
      <c r="D379" s="177" t="s">
        <v>251</v>
      </c>
      <c r="E379" s="178">
        <f>96.91*5.33*2</f>
        <v>1033.0606</v>
      </c>
      <c r="F379" s="173">
        <v>0.05</v>
      </c>
      <c r="G379" s="172">
        <f t="shared" si="312"/>
        <v>1084.71363</v>
      </c>
      <c r="H379" s="6" t="s">
        <v>120</v>
      </c>
      <c r="I379" s="3">
        <v>2.1415624999999997E-2</v>
      </c>
      <c r="J379" s="3">
        <f t="shared" si="313"/>
        <v>23.229820332468748</v>
      </c>
      <c r="K379" s="170">
        <v>48.89</v>
      </c>
      <c r="L379" s="150">
        <f t="shared" si="314"/>
        <v>1135.705916054397</v>
      </c>
      <c r="M379" s="150">
        <v>1.7177</v>
      </c>
      <c r="N379" s="171">
        <f t="shared" si="315"/>
        <v>1863.2126022509999</v>
      </c>
      <c r="O379" s="174">
        <f t="shared" si="316"/>
        <v>2998.9185183053969</v>
      </c>
      <c r="P379" s="128"/>
      <c r="V379" s="3"/>
      <c r="W379" s="150"/>
    </row>
    <row r="380" spans="1:23" ht="18" customHeight="1" x14ac:dyDescent="0.2">
      <c r="A380" s="124">
        <f t="shared" si="277"/>
        <v>198</v>
      </c>
      <c r="B380" s="175" t="s">
        <v>164</v>
      </c>
      <c r="C380" s="175" t="s">
        <v>262</v>
      </c>
      <c r="D380" s="177" t="s">
        <v>144</v>
      </c>
      <c r="E380" s="178">
        <f>96.91*5.33</f>
        <v>516.53030000000001</v>
      </c>
      <c r="F380" s="173">
        <v>0.05</v>
      </c>
      <c r="G380" s="172">
        <f t="shared" si="312"/>
        <v>542.35681499999998</v>
      </c>
      <c r="H380" s="6" t="s">
        <v>120</v>
      </c>
      <c r="I380" s="3">
        <v>2.0403249999999998E-2</v>
      </c>
      <c r="J380" s="3">
        <f t="shared" si="313"/>
        <v>11.065841685648749</v>
      </c>
      <c r="K380" s="170">
        <v>48.89</v>
      </c>
      <c r="L380" s="150">
        <f t="shared" si="314"/>
        <v>541.00900001136733</v>
      </c>
      <c r="M380" s="150">
        <v>1.1659000000000002</v>
      </c>
      <c r="N380" s="171">
        <f t="shared" si="315"/>
        <v>632.33381060850002</v>
      </c>
      <c r="O380" s="174">
        <f t="shared" si="316"/>
        <v>1173.3428106198674</v>
      </c>
      <c r="P380" s="128"/>
      <c r="V380" s="3"/>
      <c r="W380" s="150"/>
    </row>
    <row r="381" spans="1:23" ht="18" customHeight="1" x14ac:dyDescent="0.2">
      <c r="A381" s="124">
        <f t="shared" si="277"/>
        <v>199</v>
      </c>
      <c r="B381" s="175" t="s">
        <v>164</v>
      </c>
      <c r="C381" s="175" t="s">
        <v>262</v>
      </c>
      <c r="D381" s="177" t="s">
        <v>136</v>
      </c>
      <c r="E381" s="178">
        <f>1033/32*48</f>
        <v>1549.5</v>
      </c>
      <c r="F381" s="173">
        <v>0</v>
      </c>
      <c r="G381" s="172">
        <f t="shared" si="312"/>
        <v>1549.5</v>
      </c>
      <c r="H381" s="6" t="s">
        <v>118</v>
      </c>
      <c r="I381" s="3">
        <v>9.0913499999999998E-3</v>
      </c>
      <c r="J381" s="3">
        <f t="shared" si="313"/>
        <v>14.087046825</v>
      </c>
      <c r="K381" s="170">
        <v>48.89</v>
      </c>
      <c r="L381" s="131">
        <f t="shared" si="314"/>
        <v>688.71571927424998</v>
      </c>
      <c r="M381" s="150">
        <v>0.76539999999999997</v>
      </c>
      <c r="N381" s="132">
        <f t="shared" si="315"/>
        <v>1185.9873</v>
      </c>
      <c r="O381" s="174">
        <f t="shared" si="316"/>
        <v>1874.70301927425</v>
      </c>
      <c r="P381" s="128"/>
      <c r="V381" s="3"/>
      <c r="W381" s="150"/>
    </row>
    <row r="382" spans="1:23" ht="15.75" x14ac:dyDescent="0.2">
      <c r="A382" s="124" t="str">
        <f t="shared" si="277"/>
        <v/>
      </c>
      <c r="B382" s="175"/>
      <c r="C382" s="175"/>
      <c r="D382" s="177"/>
      <c r="E382" s="178"/>
      <c r="F382" s="173"/>
      <c r="G382" s="172"/>
      <c r="H382" s="6"/>
      <c r="I382" s="3"/>
      <c r="J382" s="3"/>
      <c r="K382" s="147"/>
      <c r="L382" s="131"/>
      <c r="M382" s="131"/>
      <c r="N382" s="132"/>
      <c r="O382" s="174"/>
      <c r="P382" s="128"/>
      <c r="V382" s="3"/>
      <c r="W382" s="150"/>
    </row>
    <row r="383" spans="1:23" ht="18" customHeight="1" x14ac:dyDescent="0.2">
      <c r="A383" s="124" t="str">
        <f t="shared" si="277"/>
        <v/>
      </c>
      <c r="B383" s="175"/>
      <c r="C383" s="175"/>
      <c r="D383" s="181" t="s">
        <v>264</v>
      </c>
      <c r="E383" s="178"/>
      <c r="F383" s="173"/>
      <c r="G383" s="172"/>
      <c r="H383" s="6"/>
      <c r="I383" s="3"/>
      <c r="J383" s="3"/>
      <c r="K383" s="147"/>
      <c r="L383" s="131"/>
      <c r="M383" s="131"/>
      <c r="N383" s="132"/>
      <c r="O383" s="174"/>
      <c r="P383" s="128"/>
      <c r="V383" s="3"/>
      <c r="W383" s="150"/>
    </row>
    <row r="384" spans="1:23" ht="18" customHeight="1" x14ac:dyDescent="0.2">
      <c r="A384" s="124">
        <f t="shared" si="277"/>
        <v>200</v>
      </c>
      <c r="B384" s="175" t="s">
        <v>164</v>
      </c>
      <c r="C384" s="175" t="s">
        <v>263</v>
      </c>
      <c r="D384" s="177" t="s">
        <v>140</v>
      </c>
      <c r="E384" s="178">
        <f>220.3*2</f>
        <v>440.6</v>
      </c>
      <c r="F384" s="173">
        <v>0.05</v>
      </c>
      <c r="G384" s="172">
        <f t="shared" ref="G384:G389" si="317">E384+(E384*F384)</f>
        <v>462.63</v>
      </c>
      <c r="H384" s="6" t="s">
        <v>119</v>
      </c>
      <c r="I384" s="3">
        <v>2.9592499999999997E-2</v>
      </c>
      <c r="J384" s="3">
        <f t="shared" ref="J384:J389" si="318">I384*G384</f>
        <v>13.690378274999999</v>
      </c>
      <c r="K384" s="170">
        <v>48.89</v>
      </c>
      <c r="L384" s="150">
        <f t="shared" ref="L384:L389" si="319">K384*J384</f>
        <v>669.32259386474993</v>
      </c>
      <c r="M384" s="150">
        <v>2.0113999999999996</v>
      </c>
      <c r="N384" s="171">
        <f t="shared" ref="N384:N389" si="320">M384*G384</f>
        <v>930.53398199999981</v>
      </c>
      <c r="O384" s="174">
        <f t="shared" ref="O384:O389" si="321">L384+N384</f>
        <v>1599.8565758647496</v>
      </c>
      <c r="P384" s="128"/>
      <c r="V384" s="3"/>
      <c r="W384" s="150"/>
    </row>
    <row r="385" spans="1:23" ht="18" customHeight="1" x14ac:dyDescent="0.2">
      <c r="A385" s="124">
        <f t="shared" si="277"/>
        <v>201</v>
      </c>
      <c r="B385" s="175" t="s">
        <v>164</v>
      </c>
      <c r="C385" s="175" t="s">
        <v>263</v>
      </c>
      <c r="D385" s="177" t="s">
        <v>137</v>
      </c>
      <c r="E385" s="178">
        <f>220.3*9</f>
        <v>1982.7</v>
      </c>
      <c r="F385" s="173">
        <v>0.05</v>
      </c>
      <c r="G385" s="172">
        <f t="shared" si="317"/>
        <v>2081.835</v>
      </c>
      <c r="H385" s="6" t="s">
        <v>120</v>
      </c>
      <c r="I385" s="3">
        <v>2.0612399999999999E-2</v>
      </c>
      <c r="J385" s="3">
        <f t="shared" si="318"/>
        <v>42.911615754000003</v>
      </c>
      <c r="K385" s="170">
        <v>48.89</v>
      </c>
      <c r="L385" s="150">
        <f t="shared" si="319"/>
        <v>2097.9488942130602</v>
      </c>
      <c r="M385" s="150">
        <v>2.2071999999999998</v>
      </c>
      <c r="N385" s="171">
        <f t="shared" si="320"/>
        <v>4595.0262119999998</v>
      </c>
      <c r="O385" s="174">
        <f t="shared" si="321"/>
        <v>6692.9751062130599</v>
      </c>
      <c r="P385" s="128"/>
      <c r="V385" s="3"/>
      <c r="W385" s="150"/>
    </row>
    <row r="386" spans="1:23" ht="18" customHeight="1" x14ac:dyDescent="0.2">
      <c r="A386" s="124">
        <f t="shared" si="277"/>
        <v>202</v>
      </c>
      <c r="B386" s="175" t="s">
        <v>164</v>
      </c>
      <c r="C386" s="175" t="s">
        <v>263</v>
      </c>
      <c r="D386" s="177" t="s">
        <v>138</v>
      </c>
      <c r="E386" s="178">
        <f>96.91*5.5</f>
        <v>533.005</v>
      </c>
      <c r="F386" s="173">
        <v>0.05</v>
      </c>
      <c r="G386" s="172">
        <f t="shared" si="317"/>
        <v>559.65525000000002</v>
      </c>
      <c r="H386" s="6" t="s">
        <v>120</v>
      </c>
      <c r="I386" s="3">
        <v>2.0636874999999996E-2</v>
      </c>
      <c r="J386" s="3">
        <f t="shared" si="318"/>
        <v>11.549535437343748</v>
      </c>
      <c r="K386" s="170">
        <v>48.89</v>
      </c>
      <c r="L386" s="150">
        <f t="shared" si="319"/>
        <v>564.65678753173586</v>
      </c>
      <c r="M386" s="150">
        <v>1.5330250000000001</v>
      </c>
      <c r="N386" s="171">
        <f t="shared" si="320"/>
        <v>857.96548963125008</v>
      </c>
      <c r="O386" s="174">
        <f t="shared" si="321"/>
        <v>1422.6222771629859</v>
      </c>
      <c r="P386" s="128"/>
      <c r="V386" s="3"/>
      <c r="W386" s="150"/>
    </row>
    <row r="387" spans="1:23" ht="18" customHeight="1" x14ac:dyDescent="0.2">
      <c r="A387" s="124">
        <f t="shared" si="277"/>
        <v>203</v>
      </c>
      <c r="B387" s="175" t="s">
        <v>164</v>
      </c>
      <c r="C387" s="175" t="s">
        <v>263</v>
      </c>
      <c r="D387" s="177" t="s">
        <v>251</v>
      </c>
      <c r="E387" s="178">
        <f>220.3*9+220.3*5</f>
        <v>3084.2</v>
      </c>
      <c r="F387" s="173">
        <v>0.05</v>
      </c>
      <c r="G387" s="172">
        <f t="shared" si="317"/>
        <v>3238.41</v>
      </c>
      <c r="H387" s="6" t="s">
        <v>120</v>
      </c>
      <c r="I387" s="3">
        <v>2.1415624999999997E-2</v>
      </c>
      <c r="J387" s="3">
        <f t="shared" si="318"/>
        <v>69.352574156249986</v>
      </c>
      <c r="K387" s="170">
        <v>48.89</v>
      </c>
      <c r="L387" s="150">
        <f t="shared" si="319"/>
        <v>3390.6473504990618</v>
      </c>
      <c r="M387" s="150">
        <v>1.7177</v>
      </c>
      <c r="N387" s="171">
        <f t="shared" si="320"/>
        <v>5562.616857</v>
      </c>
      <c r="O387" s="174">
        <f t="shared" si="321"/>
        <v>8953.2642074990617</v>
      </c>
      <c r="P387" s="128"/>
      <c r="V387" s="3"/>
      <c r="W387" s="150"/>
    </row>
    <row r="388" spans="1:23" ht="18" customHeight="1" x14ac:dyDescent="0.2">
      <c r="A388" s="124">
        <f t="shared" si="277"/>
        <v>204</v>
      </c>
      <c r="B388" s="175" t="s">
        <v>164</v>
      </c>
      <c r="C388" s="175" t="s">
        <v>263</v>
      </c>
      <c r="D388" s="177" t="s">
        <v>144</v>
      </c>
      <c r="E388" s="178">
        <f>220.3*9</f>
        <v>1982.7</v>
      </c>
      <c r="F388" s="173">
        <v>0.05</v>
      </c>
      <c r="G388" s="172">
        <f t="shared" si="317"/>
        <v>2081.835</v>
      </c>
      <c r="H388" s="6" t="s">
        <v>120</v>
      </c>
      <c r="I388" s="3">
        <v>2.0403249999999998E-2</v>
      </c>
      <c r="J388" s="3">
        <f t="shared" si="318"/>
        <v>42.476199963749998</v>
      </c>
      <c r="K388" s="170">
        <v>48.89</v>
      </c>
      <c r="L388" s="150">
        <f t="shared" si="319"/>
        <v>2076.6614162277374</v>
      </c>
      <c r="M388" s="150">
        <v>1.1659000000000002</v>
      </c>
      <c r="N388" s="171">
        <f t="shared" si="320"/>
        <v>2427.2114265000005</v>
      </c>
      <c r="O388" s="174">
        <f t="shared" si="321"/>
        <v>4503.8728427277383</v>
      </c>
      <c r="P388" s="128"/>
      <c r="V388" s="3"/>
      <c r="W388" s="150"/>
    </row>
    <row r="389" spans="1:23" ht="18" customHeight="1" x14ac:dyDescent="0.2">
      <c r="A389" s="124">
        <f t="shared" si="277"/>
        <v>205</v>
      </c>
      <c r="B389" s="175" t="s">
        <v>164</v>
      </c>
      <c r="C389" s="175" t="s">
        <v>263</v>
      </c>
      <c r="D389" s="177" t="s">
        <v>136</v>
      </c>
      <c r="E389" s="178">
        <f>3084/32*48</f>
        <v>4626</v>
      </c>
      <c r="F389" s="173">
        <v>0</v>
      </c>
      <c r="G389" s="172">
        <f t="shared" si="317"/>
        <v>4626</v>
      </c>
      <c r="H389" s="6" t="s">
        <v>118</v>
      </c>
      <c r="I389" s="3">
        <v>9.0913499999999998E-3</v>
      </c>
      <c r="J389" s="3">
        <f t="shared" si="318"/>
        <v>42.056585099999999</v>
      </c>
      <c r="K389" s="170">
        <v>48.89</v>
      </c>
      <c r="L389" s="131">
        <f t="shared" si="319"/>
        <v>2056.1464455390001</v>
      </c>
      <c r="M389" s="150">
        <v>0.76539999999999997</v>
      </c>
      <c r="N389" s="132">
        <f t="shared" si="320"/>
        <v>3540.7403999999997</v>
      </c>
      <c r="O389" s="174">
        <f t="shared" si="321"/>
        <v>5596.8868455390002</v>
      </c>
      <c r="P389" s="128"/>
      <c r="V389" s="3"/>
      <c r="W389" s="150"/>
    </row>
    <row r="390" spans="1:23" ht="15.75" x14ac:dyDescent="0.2">
      <c r="A390" s="124" t="str">
        <f t="shared" si="277"/>
        <v/>
      </c>
      <c r="B390" s="175"/>
      <c r="C390" s="175"/>
      <c r="D390" s="177"/>
      <c r="E390" s="178"/>
      <c r="F390" s="173"/>
      <c r="G390" s="172"/>
      <c r="H390" s="6"/>
      <c r="I390" s="3"/>
      <c r="J390" s="3"/>
      <c r="K390" s="147"/>
      <c r="L390" s="131"/>
      <c r="M390" s="131"/>
      <c r="N390" s="132"/>
      <c r="O390" s="174"/>
      <c r="P390" s="128"/>
      <c r="V390" s="3"/>
      <c r="W390" s="150"/>
    </row>
    <row r="391" spans="1:23" ht="18.75" x14ac:dyDescent="0.2">
      <c r="A391" s="124" t="str">
        <f t="shared" si="277"/>
        <v/>
      </c>
      <c r="B391" s="175"/>
      <c r="C391" s="175"/>
      <c r="D391" s="179" t="s">
        <v>142</v>
      </c>
      <c r="E391" s="178"/>
      <c r="F391" s="173"/>
      <c r="G391" s="172"/>
      <c r="H391" s="6"/>
      <c r="I391" s="3"/>
      <c r="J391" s="3"/>
      <c r="K391" s="147"/>
      <c r="L391" s="131"/>
      <c r="M391" s="131"/>
      <c r="N391" s="132"/>
      <c r="O391" s="174"/>
      <c r="P391" s="128"/>
      <c r="V391" s="3"/>
      <c r="W391" s="150"/>
    </row>
    <row r="392" spans="1:23" ht="18" customHeight="1" x14ac:dyDescent="0.2">
      <c r="A392" s="124">
        <f t="shared" si="277"/>
        <v>206</v>
      </c>
      <c r="B392" s="175" t="s">
        <v>164</v>
      </c>
      <c r="C392" s="175" t="s">
        <v>164</v>
      </c>
      <c r="D392" s="177" t="s">
        <v>272</v>
      </c>
      <c r="E392" s="178">
        <v>1</v>
      </c>
      <c r="F392" s="173">
        <v>0</v>
      </c>
      <c r="G392" s="172">
        <f t="shared" ref="G392:G395" si="322">E392+(E392*F392)</f>
        <v>1</v>
      </c>
      <c r="H392" s="6" t="s">
        <v>118</v>
      </c>
      <c r="I392" s="3">
        <v>1.4615134999999999</v>
      </c>
      <c r="J392" s="3">
        <f t="shared" ref="J392:J395" si="323">I392*G392</f>
        <v>1.4615134999999999</v>
      </c>
      <c r="K392" s="170">
        <v>48.89</v>
      </c>
      <c r="L392" s="131">
        <f t="shared" ref="L392:L395" si="324">K392*J392</f>
        <v>71.453395014999998</v>
      </c>
      <c r="M392" s="150">
        <v>120.15</v>
      </c>
      <c r="N392" s="132">
        <f t="shared" ref="N392:N395" si="325">M392*G392</f>
        <v>120.15</v>
      </c>
      <c r="O392" s="174">
        <f t="shared" ref="O392:O395" si="326">L392+N392</f>
        <v>191.60339501499999</v>
      </c>
      <c r="P392" s="128"/>
      <c r="V392" s="3"/>
      <c r="W392" s="150"/>
    </row>
    <row r="393" spans="1:23" ht="18" customHeight="1" x14ac:dyDescent="0.2">
      <c r="A393" s="124">
        <f t="shared" si="277"/>
        <v>207</v>
      </c>
      <c r="B393" s="175" t="s">
        <v>164</v>
      </c>
      <c r="C393" s="175" t="s">
        <v>238</v>
      </c>
      <c r="D393" s="177" t="s">
        <v>239</v>
      </c>
      <c r="E393" s="178">
        <v>1</v>
      </c>
      <c r="F393" s="173">
        <v>0</v>
      </c>
      <c r="G393" s="172">
        <f t="shared" si="322"/>
        <v>1</v>
      </c>
      <c r="H393" s="6" t="s">
        <v>118</v>
      </c>
      <c r="I393" s="3">
        <v>2.8613499999999998</v>
      </c>
      <c r="J393" s="3">
        <f t="shared" si="323"/>
        <v>2.8613499999999998</v>
      </c>
      <c r="K393" s="170">
        <v>48.89</v>
      </c>
      <c r="L393" s="150">
        <f t="shared" si="324"/>
        <v>139.8914015</v>
      </c>
      <c r="M393" s="150">
        <v>258.10000000000002</v>
      </c>
      <c r="N393" s="171">
        <f t="shared" si="325"/>
        <v>258.10000000000002</v>
      </c>
      <c r="O393" s="174">
        <f t="shared" si="326"/>
        <v>397.99140150000005</v>
      </c>
      <c r="P393" s="128"/>
      <c r="V393" s="3"/>
      <c r="W393" s="150"/>
    </row>
    <row r="394" spans="1:23" ht="18" customHeight="1" x14ac:dyDescent="0.2">
      <c r="A394" s="124">
        <f t="shared" si="277"/>
        <v>208</v>
      </c>
      <c r="B394" s="175" t="s">
        <v>164</v>
      </c>
      <c r="C394" s="175" t="s">
        <v>238</v>
      </c>
      <c r="D394" s="177" t="s">
        <v>240</v>
      </c>
      <c r="E394" s="178">
        <v>1</v>
      </c>
      <c r="F394" s="173">
        <v>0</v>
      </c>
      <c r="G394" s="172">
        <f t="shared" ref="G394" si="327">E394+(E394*F394)</f>
        <v>1</v>
      </c>
      <c r="H394" s="6" t="s">
        <v>118</v>
      </c>
      <c r="I394" s="3">
        <v>2.8613499999999998</v>
      </c>
      <c r="J394" s="3">
        <f t="shared" si="323"/>
        <v>2.8613499999999998</v>
      </c>
      <c r="K394" s="170">
        <v>48.89</v>
      </c>
      <c r="L394" s="150">
        <f t="shared" si="324"/>
        <v>139.8914015</v>
      </c>
      <c r="M394" s="150">
        <v>302.60000000000002</v>
      </c>
      <c r="N394" s="171">
        <f t="shared" si="325"/>
        <v>302.60000000000002</v>
      </c>
      <c r="O394" s="174">
        <f t="shared" si="326"/>
        <v>442.49140150000005</v>
      </c>
      <c r="P394" s="128"/>
      <c r="V394" s="3"/>
      <c r="W394" s="150"/>
    </row>
    <row r="395" spans="1:23" ht="18" customHeight="1" x14ac:dyDescent="0.2">
      <c r="A395" s="124">
        <f t="shared" si="277"/>
        <v>209</v>
      </c>
      <c r="B395" s="175" t="s">
        <v>164</v>
      </c>
      <c r="C395" s="175" t="s">
        <v>237</v>
      </c>
      <c r="D395" s="177" t="s">
        <v>236</v>
      </c>
      <c r="E395" s="178">
        <v>682.55</v>
      </c>
      <c r="F395" s="173">
        <v>0.05</v>
      </c>
      <c r="G395" s="172">
        <f t="shared" si="322"/>
        <v>716.67750000000001</v>
      </c>
      <c r="H395" s="6" t="s">
        <v>119</v>
      </c>
      <c r="I395" s="3">
        <v>3.6534500000000004E-2</v>
      </c>
      <c r="J395" s="3">
        <f t="shared" si="323"/>
        <v>26.183454123750003</v>
      </c>
      <c r="K395" s="170">
        <v>48.89</v>
      </c>
      <c r="L395" s="150">
        <f t="shared" si="324"/>
        <v>1280.1090721101377</v>
      </c>
      <c r="M395" s="150">
        <v>1.2282</v>
      </c>
      <c r="N395" s="171">
        <f t="shared" si="325"/>
        <v>880.22330550000004</v>
      </c>
      <c r="O395" s="174">
        <f t="shared" si="326"/>
        <v>2160.3323776101379</v>
      </c>
      <c r="P395" s="128"/>
      <c r="V395" s="3"/>
      <c r="W395" s="150"/>
    </row>
    <row r="396" spans="1:23" ht="15.75" customHeight="1" thickBot="1" x14ac:dyDescent="0.3">
      <c r="A396" s="124" t="str">
        <f>IF(H396&lt;&gt;"",1+MAX(A372:A395),"")</f>
        <v/>
      </c>
      <c r="B396" s="175"/>
      <c r="C396" s="175"/>
      <c r="D396" s="182"/>
      <c r="E396" s="178"/>
      <c r="F396" s="173"/>
      <c r="G396" s="172"/>
      <c r="H396" s="6"/>
      <c r="I396" s="3"/>
      <c r="J396" s="3"/>
      <c r="K396" s="147"/>
      <c r="L396" s="131"/>
      <c r="M396" s="131"/>
      <c r="N396" s="132"/>
      <c r="O396" s="174"/>
      <c r="P396" s="128"/>
      <c r="S396" s="150"/>
    </row>
    <row r="397" spans="1:23" ht="16.5" thickBot="1" x14ac:dyDescent="0.25">
      <c r="A397" s="121" t="str">
        <f>IF(H397&lt;&gt;"",1+MAX(#REF!),"")</f>
        <v/>
      </c>
      <c r="B397" s="175"/>
      <c r="C397" s="175"/>
      <c r="D397" s="134" t="s">
        <v>17</v>
      </c>
      <c r="E397" s="135"/>
      <c r="F397" s="136"/>
      <c r="G397" s="135"/>
      <c r="H397" s="137"/>
      <c r="I397" s="146"/>
      <c r="J397" s="146"/>
      <c r="K397" s="158" t="str">
        <f t="shared" ref="K397" si="328">IF(H397&lt;&gt;"",45.5,"")</f>
        <v/>
      </c>
      <c r="L397" s="152" t="str">
        <f t="shared" ref="L397" si="329">IF(H397&lt;&gt;"",I397*K397,"")</f>
        <v/>
      </c>
      <c r="M397" s="152"/>
      <c r="N397" s="153"/>
      <c r="O397" s="154"/>
      <c r="P397" s="155">
        <f>SUM(O15:O396)</f>
        <v>2323172.6921694945</v>
      </c>
    </row>
    <row r="398" spans="1:23" ht="16.5" thickBot="1" x14ac:dyDescent="0.25">
      <c r="A398" s="183" t="s">
        <v>18</v>
      </c>
      <c r="B398" s="184"/>
      <c r="C398" s="184"/>
      <c r="D398" s="184"/>
      <c r="E398" s="184"/>
      <c r="F398" s="184"/>
      <c r="G398" s="184"/>
      <c r="H398" s="184"/>
      <c r="I398" s="184"/>
      <c r="J398" s="184"/>
      <c r="K398" s="185"/>
      <c r="L398" s="169">
        <f>SUM(L6:L397)</f>
        <v>892666.46539431449</v>
      </c>
      <c r="M398" s="148"/>
      <c r="N398" s="169">
        <f>SUM(N6:N397)</f>
        <v>1430506.2267751803</v>
      </c>
      <c r="O398" s="149">
        <f>SUM(O6:O396)</f>
        <v>2323172.6921694945</v>
      </c>
      <c r="P398" s="149">
        <f>SUM(P6:P397)</f>
        <v>2323172.6921694945</v>
      </c>
    </row>
    <row r="399" spans="1:23" ht="16.5" thickBot="1" x14ac:dyDescent="0.25">
      <c r="A399" s="183" t="s">
        <v>19</v>
      </c>
      <c r="B399" s="184"/>
      <c r="C399" s="184"/>
      <c r="D399" s="184"/>
      <c r="E399" s="184"/>
      <c r="F399" s="184"/>
      <c r="G399" s="184"/>
      <c r="H399" s="184"/>
      <c r="I399" s="184"/>
      <c r="J399" s="184"/>
      <c r="K399" s="184"/>
      <c r="L399" s="184"/>
      <c r="M399" s="185"/>
      <c r="N399" s="126">
        <v>0</v>
      </c>
      <c r="O399" s="125"/>
      <c r="P399" s="125">
        <f>P398*N399</f>
        <v>0</v>
      </c>
    </row>
    <row r="400" spans="1:23" ht="16.5" thickBot="1" x14ac:dyDescent="0.25">
      <c r="A400" s="183" t="s">
        <v>20</v>
      </c>
      <c r="B400" s="184"/>
      <c r="C400" s="184"/>
      <c r="D400" s="184"/>
      <c r="E400" s="184"/>
      <c r="F400" s="184"/>
      <c r="G400" s="184"/>
      <c r="H400" s="184"/>
      <c r="I400" s="184"/>
      <c r="J400" s="184"/>
      <c r="K400" s="184"/>
      <c r="L400" s="184"/>
      <c r="M400" s="185"/>
      <c r="N400" s="133">
        <v>0.1</v>
      </c>
      <c r="O400" s="125"/>
      <c r="P400" s="125">
        <f>P398*N400</f>
        <v>232317.26921694947</v>
      </c>
    </row>
    <row r="401" spans="1:16" ht="16.5" thickBot="1" x14ac:dyDescent="0.25">
      <c r="A401" s="183" t="s">
        <v>21</v>
      </c>
      <c r="B401" s="184"/>
      <c r="C401" s="184"/>
      <c r="D401" s="184"/>
      <c r="E401" s="184"/>
      <c r="F401" s="184"/>
      <c r="G401" s="184"/>
      <c r="H401" s="184"/>
      <c r="I401" s="184"/>
      <c r="J401" s="184"/>
      <c r="K401" s="184"/>
      <c r="L401" s="184"/>
      <c r="M401" s="185"/>
      <c r="N401" s="133">
        <v>0.05</v>
      </c>
      <c r="O401" s="125"/>
      <c r="P401" s="125">
        <f>P398*N401</f>
        <v>116158.63460847473</v>
      </c>
    </row>
    <row r="402" spans="1:16" ht="16.5" thickBot="1" x14ac:dyDescent="0.25">
      <c r="A402" s="183" t="s">
        <v>67</v>
      </c>
      <c r="B402" s="184"/>
      <c r="C402" s="184"/>
      <c r="D402" s="184"/>
      <c r="E402" s="184"/>
      <c r="F402" s="184"/>
      <c r="G402" s="184"/>
      <c r="H402" s="184"/>
      <c r="I402" s="184"/>
      <c r="J402" s="184"/>
      <c r="K402" s="184"/>
      <c r="L402" s="184"/>
      <c r="M402" s="184"/>
      <c r="N402" s="184"/>
      <c r="O402" s="185"/>
      <c r="P402" s="149">
        <f>SUM(P398:P401)</f>
        <v>2671648.5959949186</v>
      </c>
    </row>
    <row r="403" spans="1:16" ht="16.5" thickBot="1" x14ac:dyDescent="0.25">
      <c r="A403" s="207" t="s">
        <v>110</v>
      </c>
      <c r="B403" s="208"/>
      <c r="C403" s="208"/>
      <c r="D403" s="208"/>
      <c r="E403" s="208"/>
      <c r="F403" s="208"/>
      <c r="G403" s="208"/>
      <c r="H403" s="208"/>
      <c r="I403" s="208"/>
      <c r="J403" s="208"/>
      <c r="K403" s="208"/>
      <c r="L403" s="208"/>
      <c r="M403" s="208"/>
      <c r="N403" s="208"/>
      <c r="O403" s="208"/>
      <c r="P403" s="209"/>
    </row>
    <row r="404" spans="1:16" ht="16.5" thickBot="1" x14ac:dyDescent="0.25">
      <c r="A404" s="210" t="s">
        <v>109</v>
      </c>
      <c r="B404" s="211"/>
      <c r="C404" s="211"/>
      <c r="D404" s="211"/>
      <c r="E404" s="211"/>
      <c r="F404" s="211"/>
      <c r="G404" s="211"/>
      <c r="H404" s="211"/>
      <c r="I404" s="211"/>
      <c r="J404" s="211"/>
      <c r="K404" s="211"/>
      <c r="L404" s="211"/>
      <c r="M404" s="211"/>
      <c r="N404" s="211"/>
      <c r="O404" s="211"/>
      <c r="P404" s="212"/>
    </row>
  </sheetData>
  <mergeCells count="11">
    <mergeCell ref="A400:M400"/>
    <mergeCell ref="A401:M401"/>
    <mergeCell ref="A402:O402"/>
    <mergeCell ref="A403:P403"/>
    <mergeCell ref="A404:P404"/>
    <mergeCell ref="A399:M399"/>
    <mergeCell ref="A1:B4"/>
    <mergeCell ref="C1:M2"/>
    <mergeCell ref="N1:P4"/>
    <mergeCell ref="C3:M4"/>
    <mergeCell ref="A398:K398"/>
  </mergeCells>
  <phoneticPr fontId="62" type="noConversion"/>
  <pageMargins left="0.7" right="0.7" top="0.75" bottom="0.75" header="0.3" footer="0.3"/>
  <pageSetup scale="17" orientation="portrait" r:id="rId1"/>
  <ignoredErrors>
    <ignoredError sqref="E103:E33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1093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13" t="s">
        <v>30</v>
      </c>
      <c r="M7" s="213"/>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H10*F10</f>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0">D11*(1+E11)</f>
        <v>286</v>
      </c>
      <c r="G11" s="23" t="s">
        <v>36</v>
      </c>
      <c r="H11" s="90">
        <v>4.5</v>
      </c>
      <c r="I11" s="91">
        <f>H11*F11</f>
        <v>1287</v>
      </c>
      <c r="J11" s="64" t="s">
        <v>41</v>
      </c>
      <c r="K11" s="23" t="s">
        <v>43</v>
      </c>
      <c r="L11" s="80"/>
      <c r="M11" s="80"/>
      <c r="N11" s="64">
        <f>130*2</f>
        <v>260</v>
      </c>
    </row>
    <row r="12" spans="1:16" ht="31.5" x14ac:dyDescent="0.2">
      <c r="A12" s="28">
        <v>4</v>
      </c>
      <c r="B12" s="23" t="s">
        <v>34</v>
      </c>
      <c r="C12" s="92" t="s">
        <v>44</v>
      </c>
      <c r="D12" s="88">
        <v>160</v>
      </c>
      <c r="E12" s="89">
        <v>0.1</v>
      </c>
      <c r="F12" s="88">
        <f t="shared" si="0"/>
        <v>176</v>
      </c>
      <c r="G12" s="23" t="s">
        <v>36</v>
      </c>
      <c r="H12" s="90">
        <v>5</v>
      </c>
      <c r="I12" s="91">
        <f t="shared" ref="I12:I16" si="1">H12*F12</f>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0"/>
        <v>330</v>
      </c>
      <c r="G13" s="23" t="s">
        <v>36</v>
      </c>
      <c r="H13" s="90">
        <v>4</v>
      </c>
      <c r="I13" s="91">
        <f>H13*F13</f>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0"/>
        <v>16214.000000000002</v>
      </c>
      <c r="G14" s="23" t="s">
        <v>36</v>
      </c>
      <c r="H14" s="90">
        <v>4</v>
      </c>
      <c r="I14" s="91">
        <f>H14*F14</f>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0"/>
        <v>6325.0000000000009</v>
      </c>
      <c r="G15" s="23" t="s">
        <v>36</v>
      </c>
      <c r="H15" s="90">
        <v>2.5</v>
      </c>
      <c r="I15" s="91">
        <f>H15*F15</f>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0"/>
        <v>319</v>
      </c>
      <c r="G16" s="23" t="s">
        <v>36</v>
      </c>
      <c r="H16" s="90">
        <v>2</v>
      </c>
      <c r="I16" s="91">
        <f t="shared" si="1"/>
        <v>638</v>
      </c>
      <c r="J16" s="64" t="s">
        <v>45</v>
      </c>
      <c r="K16" s="23" t="s">
        <v>58</v>
      </c>
      <c r="L16" s="80">
        <v>20</v>
      </c>
      <c r="M16" s="94"/>
    </row>
    <row r="17" spans="1:14" s="95" customFormat="1" x14ac:dyDescent="0.2">
      <c r="A17" s="28">
        <v>8</v>
      </c>
      <c r="B17" s="23" t="s">
        <v>59</v>
      </c>
      <c r="C17" s="87" t="s">
        <v>60</v>
      </c>
      <c r="D17" s="96">
        <v>4130</v>
      </c>
      <c r="E17" s="89">
        <v>0.1</v>
      </c>
      <c r="F17" s="88">
        <f t="shared" si="0"/>
        <v>4543</v>
      </c>
      <c r="G17" s="23" t="s">
        <v>36</v>
      </c>
      <c r="H17" s="90">
        <v>3</v>
      </c>
      <c r="I17" s="91">
        <f>H17*F17</f>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0"/>
        <v>5880</v>
      </c>
      <c r="G18" s="23" t="s">
        <v>36</v>
      </c>
      <c r="H18" s="90">
        <v>2</v>
      </c>
      <c r="I18" s="91">
        <f>H18*F18</f>
        <v>11760</v>
      </c>
      <c r="J18" s="64" t="s">
        <v>64</v>
      </c>
      <c r="N18" s="95">
        <f>SUM(L9:M10)+SUM(L14:M14)</f>
        <v>5600</v>
      </c>
    </row>
    <row r="19" spans="1:14" s="95" customFormat="1" x14ac:dyDescent="0.2">
      <c r="A19" s="56">
        <v>10</v>
      </c>
      <c r="B19" s="102" t="s">
        <v>62</v>
      </c>
      <c r="C19" s="98" t="s">
        <v>65</v>
      </c>
      <c r="D19" s="99">
        <v>150</v>
      </c>
      <c r="E19" s="100">
        <v>0.1</v>
      </c>
      <c r="F19" s="101">
        <f t="shared" si="0"/>
        <v>165</v>
      </c>
      <c r="G19" s="102" t="s">
        <v>36</v>
      </c>
      <c r="H19" s="103">
        <v>2.2000000000000002</v>
      </c>
      <c r="I19" s="104">
        <f>H19*F19</f>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7E83A340-81A4-48D2-8D3F-A7BB61D5E98C}">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ESTIMATE</vt:lpstr>
      <vt:lpstr>UJ</vt:lpstr>
      <vt:lpstr>DETAIL (2)</vt:lpstr>
      <vt:lpstr>'DETAIL (2)'!Print_Area</vt:lpstr>
      <vt:lpstr>ESTIMATE!Print_Area</vt:lpstr>
      <vt:lpstr>UJ!Print_Area</vt:lpstr>
      <vt:lpstr>'DETAIL (2)'!Print_Titles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2026-07-28T11:08:34Z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{7E83A340-81A4-48D2-8D3F-A7BB61D5E98C}</vt:lpwstr>
  </property>
</Properties>
</file>