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showInkAnnotation="0" codeName="ThisWorkbook" defaultThemeVersion="124226"/>
  <xr:revisionPtr revIDLastSave="0" documentId="13_ncr:1_{D969C887-4FB0-4F33-B13A-3676EF1EDAE5}" xr6:coauthVersionLast="47" xr6:coauthVersionMax="47" xr10:uidLastSave="{00000000-0000-0000-0000-000000000000}"/>
  <bookViews>
    <workbookView xWindow="-120" yWindow="-120" windowWidth="20730" windowHeight="11040" tabRatio="771" xr2:uid="{00000000-000D-0000-FFFF-FFFF00000000}"/>
  </bookViews>
  <sheets>
    <sheet name="ESTIMATE" sheetId="30" r:id="rId1"/>
    <sheet name="UJ" sheetId="13" state="hidden" r:id="rId2"/>
    <sheet name="DETAIL (2)" sheetId="12" state="hidden" r:id="rId3"/>
  </sheets>
  <definedNames>
    <definedName name="_xlnm._FilterDatabase" localSheetId="0" hidden="1">ESTIMATE!$H$1:$H$148</definedName>
    <definedName name="_xlnm.Print_Area" localSheetId="2">'DETAIL (2)'!$A$1:$F$20</definedName>
    <definedName name="_xlnm.Print_Area" localSheetId="0">ESTIMATE!$A$1:$Q$149</definedName>
    <definedName name="_xlnm.Print_Area" localSheetId="1">UJ!$A$1:$I$31</definedName>
    <definedName name="_xlnm.Print_Titles" localSheetId="2">'DETAIL (2)'!$1:$7</definedName>
    <definedName name="_xlnm.Print_Titles" localSheetId="1">UJ!$1:$7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0" i="30" l="1"/>
  <c r="A21" i="30"/>
  <c r="A24" i="30" s="1"/>
  <c r="A22" i="30"/>
  <c r="A25" i="30" s="1"/>
  <c r="A23" i="30"/>
  <c r="A26" i="30" s="1"/>
  <c r="A27" i="30"/>
  <c r="A28" i="30"/>
  <c r="A32" i="30"/>
  <c r="A33" i="30"/>
  <c r="A37" i="30"/>
  <c r="A38" i="30"/>
  <c r="A42" i="30"/>
  <c r="A57" i="30"/>
  <c r="A58" i="30"/>
  <c r="A78" i="30"/>
  <c r="A79" i="30"/>
  <c r="A81" i="30"/>
  <c r="A83" i="30"/>
  <c r="A86" i="30"/>
  <c r="A91" i="30"/>
  <c r="A93" i="30"/>
  <c r="A94" i="30"/>
  <c r="A103" i="30"/>
  <c r="A104" i="30"/>
  <c r="A110" i="30"/>
  <c r="A111" i="30"/>
  <c r="A118" i="30"/>
  <c r="A125" i="30"/>
  <c r="A128" i="30"/>
  <c r="A131" i="30"/>
  <c r="A132" i="30"/>
  <c r="A133" i="30"/>
  <c r="A134" i="30"/>
  <c r="A29" i="30" l="1"/>
  <c r="A140" i="30"/>
  <c r="N139" i="30"/>
  <c r="J139" i="30"/>
  <c r="L139" i="30" s="1"/>
  <c r="N138" i="30"/>
  <c r="J138" i="30"/>
  <c r="L138" i="30" s="1"/>
  <c r="N137" i="30"/>
  <c r="J137" i="30"/>
  <c r="L137" i="30" s="1"/>
  <c r="N136" i="30"/>
  <c r="J136" i="30"/>
  <c r="L136" i="30" s="1"/>
  <c r="N135" i="30"/>
  <c r="J135" i="30"/>
  <c r="L135" i="30" s="1"/>
  <c r="O135" i="30" s="1"/>
  <c r="N130" i="30"/>
  <c r="J130" i="30"/>
  <c r="L130" i="30" s="1"/>
  <c r="N129" i="30"/>
  <c r="J129" i="30"/>
  <c r="L129" i="30" s="1"/>
  <c r="O129" i="30" s="1"/>
  <c r="N127" i="30"/>
  <c r="J127" i="30"/>
  <c r="L127" i="30" s="1"/>
  <c r="N126" i="30"/>
  <c r="J126" i="30"/>
  <c r="L126" i="30" s="1"/>
  <c r="O126" i="30" s="1"/>
  <c r="N124" i="30"/>
  <c r="J124" i="30"/>
  <c r="L124" i="30" s="1"/>
  <c r="N123" i="30"/>
  <c r="J123" i="30"/>
  <c r="L123" i="30" s="1"/>
  <c r="O123" i="30" s="1"/>
  <c r="N122" i="30"/>
  <c r="J122" i="30"/>
  <c r="L122" i="30" s="1"/>
  <c r="N121" i="30"/>
  <c r="J121" i="30"/>
  <c r="L121" i="30" s="1"/>
  <c r="O121" i="30" s="1"/>
  <c r="N120" i="30"/>
  <c r="J120" i="30"/>
  <c r="L120" i="30" s="1"/>
  <c r="N119" i="30"/>
  <c r="J119" i="30"/>
  <c r="L119" i="30" s="1"/>
  <c r="O119" i="30" s="1"/>
  <c r="N117" i="30"/>
  <c r="J117" i="30"/>
  <c r="L117" i="30" s="1"/>
  <c r="N116" i="30"/>
  <c r="J116" i="30"/>
  <c r="L116" i="30" s="1"/>
  <c r="O116" i="30" s="1"/>
  <c r="N115" i="30"/>
  <c r="J115" i="30"/>
  <c r="L115" i="30" s="1"/>
  <c r="N114" i="30"/>
  <c r="J114" i="30"/>
  <c r="L114" i="30" s="1"/>
  <c r="O114" i="30" s="1"/>
  <c r="N113" i="30"/>
  <c r="J113" i="30"/>
  <c r="L113" i="30" s="1"/>
  <c r="N112" i="30"/>
  <c r="J112" i="30"/>
  <c r="L112" i="30" s="1"/>
  <c r="O112" i="30" s="1"/>
  <c r="N109" i="30"/>
  <c r="J109" i="30"/>
  <c r="L109" i="30" s="1"/>
  <c r="N108" i="30"/>
  <c r="J108" i="30"/>
  <c r="L108" i="30" s="1"/>
  <c r="O108" i="30" s="1"/>
  <c r="N107" i="30"/>
  <c r="J107" i="30"/>
  <c r="L107" i="30" s="1"/>
  <c r="N106" i="30"/>
  <c r="J106" i="30"/>
  <c r="L106" i="30" s="1"/>
  <c r="O106" i="30" s="1"/>
  <c r="N105" i="30"/>
  <c r="J105" i="30"/>
  <c r="L105" i="30" s="1"/>
  <c r="N102" i="30"/>
  <c r="J102" i="30"/>
  <c r="L102" i="30" s="1"/>
  <c r="O102" i="30" s="1"/>
  <c r="N101" i="30"/>
  <c r="J101" i="30"/>
  <c r="L101" i="30" s="1"/>
  <c r="N100" i="30"/>
  <c r="J100" i="30"/>
  <c r="L100" i="30" s="1"/>
  <c r="O100" i="30" s="1"/>
  <c r="N99" i="30"/>
  <c r="J99" i="30"/>
  <c r="L99" i="30" s="1"/>
  <c r="N98" i="30"/>
  <c r="J98" i="30"/>
  <c r="L98" i="30" s="1"/>
  <c r="O98" i="30" s="1"/>
  <c r="N97" i="30"/>
  <c r="J97" i="30"/>
  <c r="L97" i="30" s="1"/>
  <c r="N96" i="30"/>
  <c r="J96" i="30"/>
  <c r="L96" i="30" s="1"/>
  <c r="O96" i="30" s="1"/>
  <c r="N95" i="30"/>
  <c r="J95" i="30"/>
  <c r="L95" i="30" s="1"/>
  <c r="N90" i="30"/>
  <c r="J90" i="30"/>
  <c r="L90" i="30" s="1"/>
  <c r="O90" i="30" s="1"/>
  <c r="N89" i="30"/>
  <c r="J89" i="30"/>
  <c r="L89" i="30" s="1"/>
  <c r="N88" i="30"/>
  <c r="J88" i="30"/>
  <c r="L88" i="30" s="1"/>
  <c r="O88" i="30" s="1"/>
  <c r="N87" i="30"/>
  <c r="J87" i="30"/>
  <c r="L87" i="30" s="1"/>
  <c r="N85" i="30"/>
  <c r="J85" i="30"/>
  <c r="L85" i="30" s="1"/>
  <c r="O85" i="30" s="1"/>
  <c r="N84" i="30"/>
  <c r="J84" i="30"/>
  <c r="L84" i="30" s="1"/>
  <c r="N82" i="30"/>
  <c r="J82" i="30"/>
  <c r="L82" i="30" s="1"/>
  <c r="O82" i="30" s="1"/>
  <c r="N80" i="30"/>
  <c r="J80" i="30"/>
  <c r="L80" i="30" s="1"/>
  <c r="A30" i="30" l="1"/>
  <c r="O137" i="30"/>
  <c r="O139" i="30"/>
  <c r="O80" i="30"/>
  <c r="O84" i="30"/>
  <c r="O87" i="30"/>
  <c r="O89" i="30"/>
  <c r="O95" i="30"/>
  <c r="O97" i="30"/>
  <c r="O99" i="30"/>
  <c r="O101" i="30"/>
  <c r="O105" i="30"/>
  <c r="O107" i="30"/>
  <c r="O109" i="30"/>
  <c r="O113" i="30"/>
  <c r="O115" i="30"/>
  <c r="O117" i="30"/>
  <c r="O120" i="30"/>
  <c r="O122" i="30"/>
  <c r="O124" i="30"/>
  <c r="O127" i="30"/>
  <c r="O130" i="30"/>
  <c r="O136" i="30"/>
  <c r="O138" i="30"/>
  <c r="N77" i="30"/>
  <c r="J77" i="30"/>
  <c r="L77" i="30" s="1"/>
  <c r="N76" i="30"/>
  <c r="J76" i="30"/>
  <c r="L76" i="30" s="1"/>
  <c r="N75" i="30"/>
  <c r="J75" i="30"/>
  <c r="L75" i="30" s="1"/>
  <c r="N74" i="30"/>
  <c r="J74" i="30"/>
  <c r="L74" i="30" s="1"/>
  <c r="N73" i="30"/>
  <c r="J73" i="30"/>
  <c r="L73" i="30" s="1"/>
  <c r="O73" i="30" s="1"/>
  <c r="N72" i="30"/>
  <c r="J72" i="30"/>
  <c r="L72" i="30" s="1"/>
  <c r="N71" i="30"/>
  <c r="J71" i="30"/>
  <c r="L71" i="30" s="1"/>
  <c r="O71" i="30" s="1"/>
  <c r="N70" i="30"/>
  <c r="J70" i="30"/>
  <c r="L70" i="30" s="1"/>
  <c r="N69" i="30"/>
  <c r="J69" i="30"/>
  <c r="L69" i="30" s="1"/>
  <c r="O69" i="30" s="1"/>
  <c r="N68" i="30"/>
  <c r="J68" i="30"/>
  <c r="L68" i="30" s="1"/>
  <c r="N67" i="30"/>
  <c r="J67" i="30"/>
  <c r="L67" i="30" s="1"/>
  <c r="O67" i="30" s="1"/>
  <c r="N66" i="30"/>
  <c r="J66" i="30"/>
  <c r="L66" i="30" s="1"/>
  <c r="N65" i="30"/>
  <c r="J65" i="30"/>
  <c r="L65" i="30" s="1"/>
  <c r="O65" i="30" s="1"/>
  <c r="N64" i="30"/>
  <c r="J64" i="30"/>
  <c r="L64" i="30" s="1"/>
  <c r="N63" i="30"/>
  <c r="J63" i="30"/>
  <c r="L63" i="30" s="1"/>
  <c r="O63" i="30" s="1"/>
  <c r="N62" i="30"/>
  <c r="J62" i="30"/>
  <c r="L62" i="30" s="1"/>
  <c r="N61" i="30"/>
  <c r="J61" i="30"/>
  <c r="L61" i="30" s="1"/>
  <c r="O61" i="30" s="1"/>
  <c r="N60" i="30"/>
  <c r="J60" i="30"/>
  <c r="L60" i="30" s="1"/>
  <c r="N59" i="30"/>
  <c r="J59" i="30"/>
  <c r="L59" i="30" s="1"/>
  <c r="N56" i="30"/>
  <c r="J56" i="30"/>
  <c r="L56" i="30" s="1"/>
  <c r="N55" i="30"/>
  <c r="J55" i="30"/>
  <c r="L55" i="30" s="1"/>
  <c r="O55" i="30" s="1"/>
  <c r="N54" i="30"/>
  <c r="J54" i="30"/>
  <c r="L54" i="30" s="1"/>
  <c r="N53" i="30"/>
  <c r="J53" i="30"/>
  <c r="L53" i="30" s="1"/>
  <c r="O53" i="30" s="1"/>
  <c r="N52" i="30"/>
  <c r="J52" i="30"/>
  <c r="L52" i="30" s="1"/>
  <c r="N51" i="30"/>
  <c r="J51" i="30"/>
  <c r="L51" i="30" s="1"/>
  <c r="O51" i="30" s="1"/>
  <c r="N50" i="30"/>
  <c r="J50" i="30"/>
  <c r="L50" i="30" s="1"/>
  <c r="N49" i="30"/>
  <c r="J49" i="30"/>
  <c r="L49" i="30" s="1"/>
  <c r="O49" i="30" s="1"/>
  <c r="N48" i="30"/>
  <c r="J48" i="30"/>
  <c r="L48" i="30" s="1"/>
  <c r="N47" i="30"/>
  <c r="J47" i="30"/>
  <c r="L47" i="30" s="1"/>
  <c r="O47" i="30" s="1"/>
  <c r="N46" i="30"/>
  <c r="J46" i="30"/>
  <c r="L46" i="30" s="1"/>
  <c r="N45" i="30"/>
  <c r="J45" i="30"/>
  <c r="L45" i="30" s="1"/>
  <c r="O45" i="30" s="1"/>
  <c r="N44" i="30"/>
  <c r="J44" i="30"/>
  <c r="L44" i="30" s="1"/>
  <c r="N43" i="30"/>
  <c r="J43" i="30"/>
  <c r="L43" i="30" s="1"/>
  <c r="O43" i="30" s="1"/>
  <c r="N41" i="30"/>
  <c r="J41" i="30"/>
  <c r="L41" i="30" s="1"/>
  <c r="N40" i="30"/>
  <c r="J40" i="30"/>
  <c r="L40" i="30" s="1"/>
  <c r="N39" i="30"/>
  <c r="J39" i="30"/>
  <c r="L39" i="30" s="1"/>
  <c r="N36" i="30"/>
  <c r="J36" i="30"/>
  <c r="L36" i="30" s="1"/>
  <c r="O36" i="30" s="1"/>
  <c r="N35" i="30"/>
  <c r="J35" i="30"/>
  <c r="L35" i="30" s="1"/>
  <c r="N34" i="30"/>
  <c r="J34" i="30"/>
  <c r="L34" i="30" s="1"/>
  <c r="O34" i="30" s="1"/>
  <c r="N31" i="30"/>
  <c r="J31" i="30"/>
  <c r="L31" i="30" s="1"/>
  <c r="N30" i="30"/>
  <c r="J30" i="30"/>
  <c r="L30" i="30" s="1"/>
  <c r="O30" i="30" s="1"/>
  <c r="N29" i="30"/>
  <c r="J29" i="30"/>
  <c r="L29" i="30" s="1"/>
  <c r="N26" i="30"/>
  <c r="J26" i="30"/>
  <c r="L26" i="30" s="1"/>
  <c r="O26" i="30" s="1"/>
  <c r="N25" i="30"/>
  <c r="J25" i="30"/>
  <c r="L25" i="30" s="1"/>
  <c r="N24" i="30"/>
  <c r="J24" i="30"/>
  <c r="L24" i="30" s="1"/>
  <c r="O24" i="30" s="1"/>
  <c r="N21" i="30"/>
  <c r="J21" i="30"/>
  <c r="L21" i="30" s="1"/>
  <c r="N20" i="30"/>
  <c r="J20" i="30"/>
  <c r="L20" i="30" s="1"/>
  <c r="O20" i="30" s="1"/>
  <c r="N19" i="30"/>
  <c r="J19" i="30"/>
  <c r="L19" i="30" s="1"/>
  <c r="A18" i="30"/>
  <c r="A17" i="30"/>
  <c r="A16" i="30"/>
  <c r="A15" i="30"/>
  <c r="E101" i="30"/>
  <c r="G101" i="30" s="1"/>
  <c r="G100" i="30"/>
  <c r="E99" i="30"/>
  <c r="G99" i="30" s="1"/>
  <c r="E97" i="30"/>
  <c r="E74" i="30"/>
  <c r="G74" i="30" s="1"/>
  <c r="G75" i="30"/>
  <c r="G77" i="30"/>
  <c r="G76" i="30"/>
  <c r="G73" i="30"/>
  <c r="E29" i="30"/>
  <c r="E124" i="30"/>
  <c r="G124" i="30" s="1"/>
  <c r="E92" i="30"/>
  <c r="G85" i="30"/>
  <c r="G98" i="30"/>
  <c r="E30" i="30"/>
  <c r="E25" i="30"/>
  <c r="E19" i="30"/>
  <c r="E24" i="30"/>
  <c r="E20" i="30"/>
  <c r="E117" i="30"/>
  <c r="G117" i="30" s="1"/>
  <c r="G116" i="30"/>
  <c r="E115" i="30"/>
  <c r="G115" i="30" s="1"/>
  <c r="G114" i="30"/>
  <c r="G113" i="30"/>
  <c r="G90" i="30"/>
  <c r="G119" i="30"/>
  <c r="E127" i="30"/>
  <c r="G109" i="30"/>
  <c r="G108" i="30"/>
  <c r="E107" i="30"/>
  <c r="G107" i="30" s="1"/>
  <c r="E106" i="30"/>
  <c r="G106" i="30" s="1"/>
  <c r="E105" i="30"/>
  <c r="G105" i="30" s="1"/>
  <c r="A34" i="30" l="1"/>
  <c r="A35" i="30" s="1"/>
  <c r="A31" i="30"/>
  <c r="O40" i="30"/>
  <c r="O59" i="30"/>
  <c r="O75" i="30"/>
  <c r="O77" i="30"/>
  <c r="O19" i="30"/>
  <c r="O21" i="30"/>
  <c r="O25" i="30"/>
  <c r="O29" i="30"/>
  <c r="O31" i="30"/>
  <c r="O35" i="30"/>
  <c r="O39" i="30"/>
  <c r="O41" i="30"/>
  <c r="O44" i="30"/>
  <c r="O46" i="30"/>
  <c r="O48" i="30"/>
  <c r="O50" i="30"/>
  <c r="O52" i="30"/>
  <c r="O54" i="30"/>
  <c r="O56" i="30"/>
  <c r="O60" i="30"/>
  <c r="O62" i="30"/>
  <c r="O64" i="30"/>
  <c r="O66" i="30"/>
  <c r="O68" i="30"/>
  <c r="O70" i="30"/>
  <c r="O72" i="30"/>
  <c r="O74" i="30"/>
  <c r="O76" i="30"/>
  <c r="G56" i="30"/>
  <c r="G97" i="30"/>
  <c r="G96" i="30"/>
  <c r="E102" i="30"/>
  <c r="G102" i="30" s="1"/>
  <c r="G26" i="30"/>
  <c r="G25" i="30"/>
  <c r="G24" i="30"/>
  <c r="G31" i="30"/>
  <c r="G30" i="30"/>
  <c r="G29" i="30"/>
  <c r="G89" i="30"/>
  <c r="G82" i="30"/>
  <c r="G84" i="30"/>
  <c r="E139" i="30"/>
  <c r="G139" i="30" s="1"/>
  <c r="E135" i="30"/>
  <c r="G135" i="30" s="1"/>
  <c r="E136" i="30"/>
  <c r="G136" i="30" s="1"/>
  <c r="G138" i="30"/>
  <c r="G137" i="30"/>
  <c r="G123" i="30"/>
  <c r="G122" i="30"/>
  <c r="G55" i="30"/>
  <c r="G54" i="30"/>
  <c r="G21" i="30"/>
  <c r="G20" i="30"/>
  <c r="G19" i="30"/>
  <c r="G92" i="30"/>
  <c r="G121" i="30"/>
  <c r="G127" i="30"/>
  <c r="G126" i="30"/>
  <c r="G130" i="30"/>
  <c r="G129" i="30"/>
  <c r="G87" i="30"/>
  <c r="G80" i="30"/>
  <c r="G67" i="30"/>
  <c r="G88" i="30"/>
  <c r="G72" i="30"/>
  <c r="G71" i="30"/>
  <c r="G60" i="30"/>
  <c r="G53" i="30"/>
  <c r="G52" i="30"/>
  <c r="G51" i="30"/>
  <c r="G50" i="30"/>
  <c r="G49" i="30"/>
  <c r="G48" i="30"/>
  <c r="G47" i="30"/>
  <c r="G46" i="30"/>
  <c r="G45" i="30"/>
  <c r="G44" i="30"/>
  <c r="G43" i="30"/>
  <c r="G41" i="30"/>
  <c r="G40" i="30"/>
  <c r="G39" i="30"/>
  <c r="G35" i="30"/>
  <c r="A39" i="30" l="1"/>
  <c r="A36" i="30"/>
  <c r="N92" i="30"/>
  <c r="J92" i="30"/>
  <c r="L92" i="30" s="1"/>
  <c r="A13" i="30"/>
  <c r="A14" i="30"/>
  <c r="G112" i="30"/>
  <c r="G120" i="30"/>
  <c r="G95" i="30"/>
  <c r="G70" i="30"/>
  <c r="G69" i="30"/>
  <c r="G68" i="30"/>
  <c r="G66" i="30"/>
  <c r="G65" i="30"/>
  <c r="G64" i="30"/>
  <c r="G63" i="30"/>
  <c r="G62" i="30"/>
  <c r="G61" i="30"/>
  <c r="G59" i="30"/>
  <c r="A40" i="30" l="1"/>
  <c r="O92" i="30"/>
  <c r="P141" i="30" s="1"/>
  <c r="L141" i="30"/>
  <c r="K141" i="30"/>
  <c r="A141" i="30"/>
  <c r="G36" i="30"/>
  <c r="G34" i="30"/>
  <c r="M14" i="30"/>
  <c r="L14" i="30"/>
  <c r="M13" i="30"/>
  <c r="L13" i="30"/>
  <c r="G12" i="30"/>
  <c r="J12" i="30" s="1"/>
  <c r="L12" i="30" s="1"/>
  <c r="G11" i="30"/>
  <c r="G10" i="30"/>
  <c r="J10" i="30" s="1"/>
  <c r="L10" i="30" s="1"/>
  <c r="G9" i="30"/>
  <c r="G8" i="30"/>
  <c r="J8" i="30" s="1"/>
  <c r="L8" i="30" s="1"/>
  <c r="G7" i="30"/>
  <c r="A7" i="30"/>
  <c r="A41" i="30" l="1"/>
  <c r="A43" i="30"/>
  <c r="N7" i="30"/>
  <c r="J7" i="30"/>
  <c r="L7" i="30" s="1"/>
  <c r="N9" i="30"/>
  <c r="J9" i="30"/>
  <c r="L9" i="30" s="1"/>
  <c r="N11" i="30"/>
  <c r="J11" i="30"/>
  <c r="L11" i="30" s="1"/>
  <c r="A8" i="30"/>
  <c r="N8" i="30"/>
  <c r="O8" i="30" s="1"/>
  <c r="N10" i="30"/>
  <c r="O10" i="30" s="1"/>
  <c r="N12" i="30"/>
  <c r="O12" i="30" s="1"/>
  <c r="A44" i="30" l="1"/>
  <c r="A45" i="30"/>
  <c r="N142" i="30"/>
  <c r="L142" i="30"/>
  <c r="O9" i="30"/>
  <c r="O11" i="30"/>
  <c r="O7" i="30"/>
  <c r="A9" i="30"/>
  <c r="A10" i="30" s="1"/>
  <c r="A46" i="30" l="1"/>
  <c r="A47" i="30" s="1"/>
  <c r="A48" i="30" s="1"/>
  <c r="O142" i="30"/>
  <c r="P13" i="30"/>
  <c r="A11" i="30"/>
  <c r="A49" i="30" l="1"/>
  <c r="P142" i="30"/>
  <c r="P145" i="30" s="1"/>
  <c r="A12" i="30"/>
  <c r="A50" i="30" l="1"/>
  <c r="A19" i="30"/>
  <c r="P143" i="30"/>
  <c r="P144" i="30"/>
  <c r="A51" i="30" l="1"/>
  <c r="P146" i="30"/>
  <c r="A52" i="30" l="1"/>
  <c r="F19" i="13"/>
  <c r="I19" i="13"/>
  <c r="F18" i="13"/>
  <c r="I18" i="13" s="1"/>
  <c r="N17" i="13"/>
  <c r="F17" i="13"/>
  <c r="I17" i="13"/>
  <c r="F16" i="13"/>
  <c r="I16" i="13" s="1"/>
  <c r="F15" i="13"/>
  <c r="I15" i="13"/>
  <c r="L14" i="13"/>
  <c r="F14" i="13"/>
  <c r="I14" i="13"/>
  <c r="N13" i="13"/>
  <c r="F13" i="13"/>
  <c r="I13" i="13" s="1"/>
  <c r="N12" i="13"/>
  <c r="F12" i="13"/>
  <c r="I12" i="13" s="1"/>
  <c r="N11" i="13"/>
  <c r="F11" i="13"/>
  <c r="I11" i="13"/>
  <c r="N10" i="13"/>
  <c r="L10" i="13"/>
  <c r="F10" i="13"/>
  <c r="I10" i="13"/>
  <c r="N9" i="13"/>
  <c r="N14" i="13" s="1"/>
  <c r="P14" i="13" s="1"/>
  <c r="L9" i="13"/>
  <c r="F9" i="13"/>
  <c r="I9" i="13"/>
  <c r="I6" i="13"/>
  <c r="F18" i="12"/>
  <c r="D17" i="12"/>
  <c r="F17" i="12"/>
  <c r="F16" i="12"/>
  <c r="F15" i="12"/>
  <c r="D14" i="12"/>
  <c r="F14" i="12"/>
  <c r="F13" i="12"/>
  <c r="F12" i="12"/>
  <c r="D11" i="12"/>
  <c r="F11" i="12"/>
  <c r="D10" i="12"/>
  <c r="F10" i="12" s="1"/>
  <c r="D9" i="12"/>
  <c r="F9" i="12" s="1"/>
  <c r="F6" i="12"/>
  <c r="O14" i="13"/>
  <c r="N18" i="13"/>
  <c r="N15" i="13"/>
  <c r="A53" i="30" l="1"/>
  <c r="I21" i="13"/>
  <c r="F20" i="12"/>
  <c r="A54" i="30" l="1"/>
  <c r="I22" i="13"/>
  <c r="I23" i="13" s="1"/>
  <c r="A55" i="30" l="1"/>
  <c r="A56" i="30" l="1"/>
  <c r="A59" i="30" l="1"/>
  <c r="A60" i="30" l="1"/>
  <c r="A61" i="30" l="1"/>
  <c r="A62" i="30" l="1"/>
  <c r="A63" i="30" l="1"/>
  <c r="A64" i="30" l="1"/>
  <c r="A65" i="30" l="1"/>
  <c r="A66" i="30" l="1"/>
  <c r="A67" i="30" l="1"/>
  <c r="A68" i="30" l="1"/>
  <c r="A69" i="30" l="1"/>
  <c r="A70" i="30" l="1"/>
  <c r="A71" i="30" l="1"/>
  <c r="A72" i="30" l="1"/>
  <c r="A73" i="30" l="1"/>
  <c r="A74" i="30" l="1"/>
  <c r="A75" i="30" l="1"/>
  <c r="A76" i="30" l="1"/>
  <c r="A77" i="30" l="1"/>
  <c r="A80" i="30" l="1"/>
  <c r="A82" i="30" l="1"/>
  <c r="A84" i="30" l="1"/>
  <c r="A85" i="30" l="1"/>
  <c r="A87" i="30" l="1"/>
  <c r="A88" i="30" l="1"/>
  <c r="A89" i="30" l="1"/>
  <c r="A90" i="30" l="1"/>
  <c r="A92" i="30" l="1"/>
  <c r="A95" i="30"/>
  <c r="A96" i="30" l="1"/>
  <c r="A97" i="30" l="1"/>
  <c r="A98" i="30" l="1"/>
  <c r="A99" i="30" l="1"/>
  <c r="A100" i="30" s="1"/>
  <c r="A101" i="30" l="1"/>
  <c r="A102" i="30" l="1"/>
  <c r="A105" i="30" l="1"/>
  <c r="A106" i="30" l="1"/>
  <c r="A107" i="30" s="1"/>
  <c r="A108" i="30" l="1"/>
  <c r="A109" i="30" l="1"/>
  <c r="A112" i="30" l="1"/>
  <c r="A113" i="30" l="1"/>
  <c r="A114" i="30" l="1"/>
  <c r="A115" i="30" l="1"/>
  <c r="A116" i="30" l="1"/>
  <c r="A117" i="30" s="1"/>
  <c r="A119" i="30" l="1"/>
  <c r="A120" i="30" l="1"/>
  <c r="A123" i="30" l="1"/>
  <c r="A121" i="30"/>
  <c r="A122" i="30" s="1"/>
  <c r="A124" i="30" l="1"/>
  <c r="A126" i="30" l="1"/>
  <c r="A127" i="30" l="1"/>
  <c r="A129" i="30" l="1"/>
  <c r="A130" i="30" s="1"/>
  <c r="A135" i="30" l="1"/>
  <c r="A136" i="30"/>
  <c r="A137" i="30" l="1"/>
  <c r="A138" i="30" l="1"/>
  <c r="A139" i="30" s="1"/>
</calcChain>
</file>

<file path=xl/sharedStrings.xml><?xml version="1.0" encoding="utf-8"?>
<sst xmlns="http://schemas.openxmlformats.org/spreadsheetml/2006/main" count="586" uniqueCount="272">
  <si>
    <t>ITEM #</t>
  </si>
  <si>
    <t>DWG #</t>
  </si>
  <si>
    <t>CSI #/SUB DETAIL</t>
  </si>
  <si>
    <t>DESCRIPTION</t>
  </si>
  <si>
    <t>QTY.</t>
  </si>
  <si>
    <t>WASTE</t>
  </si>
  <si>
    <t>QTY. W/ WASTE</t>
  </si>
  <si>
    <t>UNIT</t>
  </si>
  <si>
    <t>TRADE COST</t>
  </si>
  <si>
    <t>DIVISION 01 — GENERAL REQUIREMENTS</t>
  </si>
  <si>
    <t>Submittal Procedures</t>
  </si>
  <si>
    <t>LS</t>
  </si>
  <si>
    <t>Temporary Facilities and Controls</t>
  </si>
  <si>
    <t xml:space="preserve">Closeout Procedures </t>
  </si>
  <si>
    <t>Payment Procedures</t>
  </si>
  <si>
    <t>Contract Modification Procedures</t>
  </si>
  <si>
    <t xml:space="preserve">Maintenance &amp; Traffic Protection </t>
  </si>
  <si>
    <t>SUBTOTAL</t>
  </si>
  <si>
    <t>SUB TOTAL</t>
  </si>
  <si>
    <t>TAX</t>
  </si>
  <si>
    <t>PROFIT</t>
  </si>
  <si>
    <t>CONTIGENCIES</t>
  </si>
  <si>
    <t xml:space="preserve">PROJECT: </t>
  </si>
  <si>
    <t>625 PARK AVE PHASE 1B</t>
  </si>
  <si>
    <t xml:space="preserve">ADDRESS: </t>
  </si>
  <si>
    <t>625 PARK AVENUE,</t>
  </si>
  <si>
    <t>NEW YORK, NY-10065.</t>
  </si>
  <si>
    <t>DATE</t>
  </si>
  <si>
    <t>CSI SEC.</t>
  </si>
  <si>
    <t>UNIT COST</t>
  </si>
  <si>
    <t>Single side areas</t>
  </si>
  <si>
    <t>SCOPE OF WORK</t>
  </si>
  <si>
    <t>Dry</t>
  </si>
  <si>
    <t>Wet</t>
  </si>
  <si>
    <t>09 29</t>
  </si>
  <si>
    <t>2 layered 5/8" thick USG fiberock brand panels for walls and ceilings.</t>
  </si>
  <si>
    <t>sf</t>
  </si>
  <si>
    <t>Type 1+Type 4+Type 6+ceiling</t>
  </si>
  <si>
    <t>Type 1</t>
  </si>
  <si>
    <t>2 layerd 5/8" thick USG fiberock aqua tough brand panels for wall and ceilings in wet areas.</t>
  </si>
  <si>
    <t>Type 1+Type 4+Type 6+wet ceiling</t>
  </si>
  <si>
    <t>Type 2</t>
  </si>
  <si>
    <t>2 layered 2 HR rated 5/8" thick USG fiberock brand panels for walls.</t>
  </si>
  <si>
    <t>Type 3</t>
  </si>
  <si>
    <t>2 layered 2 HR rated 5/8" thick USG fiberock  aqua tough brand panels for walls in wet areas.</t>
  </si>
  <si>
    <t>Type 4</t>
  </si>
  <si>
    <t>3 layered 3 HR rated 5/8" thick USG fiberock brand panels for walls.</t>
  </si>
  <si>
    <t>Type 7</t>
  </si>
  <si>
    <t>Type 5</t>
  </si>
  <si>
    <t>09 26</t>
  </si>
  <si>
    <t>3/32" thick gypsum veneer plaster skim coat.</t>
  </si>
  <si>
    <t>Type 1+Type 2+ Type 4+Type 5+Type 6 +Type 7</t>
  </si>
  <si>
    <t>Type 6</t>
  </si>
  <si>
    <t>09 22 16</t>
  </si>
  <si>
    <t>3-5/8" steel studs 20 GA @ 16" O.C.</t>
  </si>
  <si>
    <t>Type 1+Type 2+Type 6+Type 7</t>
  </si>
  <si>
    <t>10 22 16</t>
  </si>
  <si>
    <t xml:space="preserve">1-5/8" steel studs 20 GA @ 12" O.C. </t>
  </si>
  <si>
    <t>Type 8</t>
  </si>
  <si>
    <t>09 22 26</t>
  </si>
  <si>
    <t>Ceiling suspension system.</t>
  </si>
  <si>
    <t>Ceiling</t>
  </si>
  <si>
    <t>07 21 16</t>
  </si>
  <si>
    <t>Batt Insulation.</t>
  </si>
  <si>
    <t>Type 1+Type 2+ Type 6</t>
  </si>
  <si>
    <t>Batt Insulation type SAFB.</t>
  </si>
  <si>
    <t>INSURANCE (3%)</t>
  </si>
  <si>
    <t>TOTAL BASE BID</t>
  </si>
  <si>
    <t>Exclusions</t>
  </si>
  <si>
    <t>Mouldings</t>
  </si>
  <si>
    <t>Patch work</t>
  </si>
  <si>
    <t>Fixtures</t>
  </si>
  <si>
    <t>Electrical work</t>
  </si>
  <si>
    <t>Stone and/or tile work</t>
  </si>
  <si>
    <t>Wall type 8 [no details on provided on the drawing]</t>
  </si>
  <si>
    <t xml:space="preserve">625 PARK AVENUE </t>
  </si>
  <si>
    <t>NEW YORK, NY 10065</t>
  </si>
  <si>
    <t>5/8" 2 layered USG fiberock brand panels.</t>
  </si>
  <si>
    <t>5/8" 2 layered USG fiberock aqua tough brand panels. (Wet area).</t>
  </si>
  <si>
    <t>Height 9'6"</t>
  </si>
  <si>
    <t>2 HR rated 5/8" 2 layered USG fiberock brand panels.</t>
  </si>
  <si>
    <t>For Doors &amp; Cabinets 1'3"</t>
  </si>
  <si>
    <t>2 HR rated 5/8" 2 layered USG fiberock  aqua tough brand panels. (Wet area).</t>
  </si>
  <si>
    <t>3 HR rated 5/8" 3 layered USG fiberock brand panels.</t>
  </si>
  <si>
    <t>3 5/8" steel studs 20 GA @ 16" O.C.</t>
  </si>
  <si>
    <t xml:space="preserve">1 5/8" steel studs 20 GA @ 12" O.C. </t>
  </si>
  <si>
    <t>Batt sound Insulation.</t>
  </si>
  <si>
    <t>Batt sound Insulation type SAFB.</t>
  </si>
  <si>
    <t>QTY Details</t>
  </si>
  <si>
    <t>TOTAL</t>
  </si>
  <si>
    <t>N/A</t>
  </si>
  <si>
    <t>No details given</t>
  </si>
  <si>
    <t>Wet Ceiling</t>
  </si>
  <si>
    <t>DETAILS</t>
  </si>
  <si>
    <t xml:space="preserve">Type 1- Interior Partition </t>
  </si>
  <si>
    <t>Type 2- 2HR rated Interior Partition</t>
  </si>
  <si>
    <t xml:space="preserve">Type </t>
  </si>
  <si>
    <r>
      <rPr>
        <sz val="12"/>
        <color rgb="FFC00000"/>
        <rFont val="Calibri"/>
        <family val="2"/>
        <scheme val="minor"/>
      </rPr>
      <t>2 layers 5/8' USG fiberock brand panels</t>
    </r>
    <r>
      <rPr>
        <sz val="12"/>
        <color theme="1"/>
        <rFont val="Calibri"/>
        <family val="2"/>
        <scheme val="minor"/>
      </rPr>
      <t xml:space="preserve"> (Fiberock aqua tough brand at all wet areas)</t>
    </r>
    <r>
      <rPr>
        <sz val="12"/>
        <rFont val="Calibri"/>
        <family val="2"/>
        <scheme val="minor"/>
      </rPr>
      <t xml:space="preserve"> Glue second layer, finished with</t>
    </r>
    <r>
      <rPr>
        <sz val="12"/>
        <color rgb="FF92D050"/>
        <rFont val="Calibri"/>
        <family val="2"/>
        <scheme val="minor"/>
      </rPr>
      <t xml:space="preserve"> 3-32" thick gypsum veneer plaster skim coat</t>
    </r>
    <r>
      <rPr>
        <sz val="12"/>
        <rFont val="Calibri"/>
        <family val="2"/>
        <scheme val="minor"/>
      </rPr>
      <t xml:space="preserve">. </t>
    </r>
    <r>
      <rPr>
        <b/>
        <sz val="12"/>
        <color rgb="FFFFC000"/>
        <rFont val="Calibri"/>
        <family val="2"/>
        <scheme val="minor"/>
      </rPr>
      <t>3 5/8" Stl studs 20 GA @16" O.C</t>
    </r>
    <r>
      <rPr>
        <sz val="12"/>
        <rFont val="Calibri"/>
        <family val="2"/>
        <scheme val="minor"/>
      </rPr>
      <t xml:space="preserve"> with </t>
    </r>
    <r>
      <rPr>
        <sz val="12"/>
        <color rgb="FF0070C0"/>
        <rFont val="Calibri"/>
        <family val="2"/>
        <scheme val="minor"/>
      </rPr>
      <t>Batt insulation</t>
    </r>
    <r>
      <rPr>
        <sz val="12"/>
        <rFont val="Calibri"/>
        <family val="2"/>
        <scheme val="minor"/>
      </rPr>
      <t xml:space="preserve">. 2 layers 5/8" USG fiberock brand panels(Fiberock aqua tough brand at all wet areas finished 3-32" thick gypsum veneer plaster skim coat </t>
    </r>
  </si>
  <si>
    <r>
      <t xml:space="preserve">2 layers 5/8' USG fiberock brand panels (Fiberock aqua tough brand at all wet areas) Glue second layer, finished with </t>
    </r>
    <r>
      <rPr>
        <sz val="12"/>
        <color rgb="FF92D050"/>
        <rFont val="Calibri"/>
        <family val="2"/>
        <scheme val="minor"/>
      </rPr>
      <t>3-32" thick gypsum veneer plaster skim coat</t>
    </r>
    <r>
      <rPr>
        <sz val="12"/>
        <rFont val="Calibri"/>
        <family val="2"/>
        <scheme val="minor"/>
      </rPr>
      <t xml:space="preserve">. </t>
    </r>
    <r>
      <rPr>
        <sz val="12"/>
        <color rgb="FFFFC000"/>
        <rFont val="Calibri"/>
        <family val="2"/>
        <scheme val="minor"/>
      </rPr>
      <t>3 5/8" Stl studs 20 GA @16" O.C</t>
    </r>
    <r>
      <rPr>
        <sz val="12"/>
        <rFont val="Calibri"/>
        <family val="2"/>
        <scheme val="minor"/>
      </rPr>
      <t xml:space="preserve"> with</t>
    </r>
    <r>
      <rPr>
        <sz val="12"/>
        <color rgb="FF0070C0"/>
        <rFont val="Calibri"/>
        <family val="2"/>
        <scheme val="minor"/>
      </rPr>
      <t xml:space="preserve"> Batt insulation</t>
    </r>
    <r>
      <rPr>
        <sz val="12"/>
        <rFont val="Calibri"/>
        <family val="2"/>
        <scheme val="minor"/>
      </rPr>
      <t xml:space="preserve">. 2 layers 5/8" USG fiberock brand panels(Fiberock aqua tough brand at all wet areas finished 3-32" thick gypsum veneer plaster skim coat </t>
    </r>
  </si>
  <si>
    <t xml:space="preserve">TYPE 3 Interior partition at chase </t>
  </si>
  <si>
    <t xml:space="preserve">TYPE 4 Pocket door partition </t>
  </si>
  <si>
    <r>
      <t xml:space="preserve">2 layer 5/8" USG fiberock brand panels ( Fiberock aqua tough brand at all wet areas ) Glue second layer fill batt insulation, finished with 3/32" thick gypsum veneer plaster skim coat.  </t>
    </r>
    <r>
      <rPr>
        <b/>
        <sz val="12"/>
        <color rgb="FFFF0000"/>
        <rFont val="Calibri"/>
        <family val="2"/>
        <scheme val="minor"/>
      </rPr>
      <t xml:space="preserve">20 Ga 2-1/2" mtl studs @ 16 O.C. </t>
    </r>
    <r>
      <rPr>
        <sz val="12"/>
        <color rgb="FFFF0000"/>
        <rFont val="Calibri"/>
        <family val="2"/>
        <scheme val="minor"/>
      </rPr>
      <t>with batt insulation. Pipe chase space. 2 layers 5/8" USG fiberock brand panels (Fiberock aqua tough brand at all wet areas finished with 3/32" thick gypsum veneer plaster skim coat.</t>
    </r>
  </si>
  <si>
    <r>
      <rPr>
        <sz val="12"/>
        <color rgb="FFC00000"/>
        <rFont val="Calibri"/>
        <family val="2"/>
        <scheme val="minor"/>
      </rPr>
      <t xml:space="preserve">2 Layers 5/8" USG fiberock brand panels </t>
    </r>
    <r>
      <rPr>
        <sz val="12"/>
        <color theme="1"/>
        <rFont val="Calibri"/>
        <family val="2"/>
        <scheme val="minor"/>
      </rPr>
      <t>(Fiberock Aqua tough brand at all wet areas)</t>
    </r>
    <r>
      <rPr>
        <sz val="12"/>
        <color rgb="FFFFC000"/>
        <rFont val="Calibri"/>
        <family val="2"/>
        <scheme val="minor"/>
      </rPr>
      <t xml:space="preserve"> </t>
    </r>
    <r>
      <rPr>
        <sz val="12"/>
        <rFont val="Calibri"/>
        <family val="2"/>
        <scheme val="minor"/>
      </rPr>
      <t xml:space="preserve">Glue second layer, Finished with </t>
    </r>
    <r>
      <rPr>
        <sz val="12"/>
        <color rgb="FF92D050"/>
        <rFont val="Calibri"/>
        <family val="2"/>
        <scheme val="minor"/>
      </rPr>
      <t>3/32" thick gypsum veneer plaster skim coat.</t>
    </r>
    <r>
      <rPr>
        <b/>
        <sz val="12"/>
        <rFont val="Calibri"/>
        <family val="2"/>
        <scheme val="minor"/>
      </rPr>
      <t xml:space="preserve"> 1</t>
    </r>
    <r>
      <rPr>
        <sz val="12"/>
        <rFont val="Calibri"/>
        <family val="2"/>
        <scheme val="minor"/>
      </rPr>
      <t xml:space="preserve"> </t>
    </r>
    <r>
      <rPr>
        <b/>
        <sz val="12"/>
        <rFont val="Calibri"/>
        <family val="2"/>
        <scheme val="minor"/>
      </rPr>
      <t xml:space="preserve">5/8" 20 Ga stl studs @12 O.C.  </t>
    </r>
    <r>
      <rPr>
        <sz val="12"/>
        <rFont val="Calibri"/>
        <family val="2"/>
        <scheme val="minor"/>
      </rPr>
      <t>2 layer 5/8" USG fiberock brand panels (fiberock aqua tough brand at wet areas) finished with 3/32" thick gypsum veneer plaster skim coat.</t>
    </r>
  </si>
  <si>
    <t>TYPE 5 Existing wall skim coat</t>
  </si>
  <si>
    <t>TYPE 6 EXISTING WALL- Furring</t>
  </si>
  <si>
    <r>
      <t>Apply</t>
    </r>
    <r>
      <rPr>
        <sz val="12"/>
        <color rgb="FF92D050"/>
        <rFont val="Calibri"/>
        <family val="2"/>
        <scheme val="minor"/>
      </rPr>
      <t xml:space="preserve"> 3/32" Thick gypsum veneer skim coat</t>
    </r>
    <r>
      <rPr>
        <sz val="12"/>
        <rFont val="Calibri"/>
        <family val="2"/>
        <scheme val="minor"/>
      </rPr>
      <t>. Fill and smooth all imperfections</t>
    </r>
  </si>
  <si>
    <r>
      <rPr>
        <sz val="12"/>
        <color rgb="FFFFC000"/>
        <rFont val="Calibri"/>
        <family val="2"/>
        <scheme val="minor"/>
      </rPr>
      <t xml:space="preserve">3 5/8" </t>
    </r>
    <r>
      <rPr>
        <b/>
        <sz val="12"/>
        <color rgb="FFFFC000"/>
        <rFont val="Calibri"/>
        <family val="2"/>
        <scheme val="minor"/>
      </rPr>
      <t>20 Ga stl studs @ 16 O.C</t>
    </r>
    <r>
      <rPr>
        <b/>
        <sz val="12"/>
        <rFont val="Calibri"/>
        <family val="2"/>
        <scheme val="minor"/>
      </rPr>
      <t>.</t>
    </r>
    <r>
      <rPr>
        <b/>
        <sz val="12"/>
        <color rgb="FFC00000"/>
        <rFont val="Calibri"/>
        <family val="2"/>
        <scheme val="minor"/>
      </rPr>
      <t xml:space="preserve"> </t>
    </r>
    <r>
      <rPr>
        <sz val="12"/>
        <color rgb="FFC00000"/>
        <rFont val="Calibri"/>
        <family val="2"/>
        <scheme val="minor"/>
      </rPr>
      <t>2 layers  5/8" USG fiberock brand panels</t>
    </r>
    <r>
      <rPr>
        <sz val="12"/>
        <rFont val="Calibri"/>
        <family val="2"/>
        <scheme val="minor"/>
      </rPr>
      <t xml:space="preserve"> dimensions from exterior wall to be varified with architect. Fill with</t>
    </r>
    <r>
      <rPr>
        <sz val="12"/>
        <color rgb="FF0070C0"/>
        <rFont val="Calibri"/>
        <family val="2"/>
        <scheme val="minor"/>
      </rPr>
      <t xml:space="preserve"> Batt insulation, </t>
    </r>
    <r>
      <rPr>
        <sz val="12"/>
        <rFont val="Calibri"/>
        <family val="2"/>
        <scheme val="minor"/>
      </rPr>
      <t xml:space="preserve">Finished with </t>
    </r>
    <r>
      <rPr>
        <sz val="12"/>
        <color rgb="FF92D050"/>
        <rFont val="Calibri"/>
        <family val="2"/>
        <scheme val="minor"/>
      </rPr>
      <t>3/32" Thick Gypsum veneer plaster skim coat</t>
    </r>
  </si>
  <si>
    <t xml:space="preserve">TYPE 7 Interior Partition- 3 Hr rated </t>
  </si>
  <si>
    <r>
      <t xml:space="preserve">3 layer 5/8" USG fiberock brand panels, glue third layer finished with </t>
    </r>
    <r>
      <rPr>
        <sz val="12"/>
        <color rgb="FF92D050"/>
        <rFont val="Calibri"/>
        <family val="2"/>
        <scheme val="minor"/>
      </rPr>
      <t>3/32" thick gypsum veneer plaster skim coat</t>
    </r>
    <r>
      <rPr>
        <sz val="12"/>
        <rFont val="Calibri"/>
        <family val="2"/>
        <scheme val="minor"/>
      </rPr>
      <t>.</t>
    </r>
    <r>
      <rPr>
        <b/>
        <sz val="12"/>
        <rFont val="Calibri"/>
        <family val="2"/>
        <scheme val="minor"/>
      </rPr>
      <t xml:space="preserve"> </t>
    </r>
    <r>
      <rPr>
        <b/>
        <sz val="12"/>
        <color rgb="FFFFC000"/>
        <rFont val="Calibri"/>
        <family val="2"/>
        <scheme val="minor"/>
      </rPr>
      <t>3 5/8" stl studs 20 GA @16"O.C.</t>
    </r>
    <r>
      <rPr>
        <sz val="12"/>
        <color rgb="FF00B0F0"/>
        <rFont val="Calibri"/>
        <family val="2"/>
        <scheme val="minor"/>
      </rPr>
      <t xml:space="preserve"> </t>
    </r>
    <r>
      <rPr>
        <sz val="12"/>
        <color rgb="FF002060"/>
        <rFont val="Calibri"/>
        <family val="2"/>
        <scheme val="minor"/>
      </rPr>
      <t xml:space="preserve">Batt insulation Type SAFB. </t>
    </r>
    <r>
      <rPr>
        <sz val="12"/>
        <rFont val="Calibri"/>
        <family val="2"/>
        <scheme val="minor"/>
      </rPr>
      <t>3 layer 5/8" USG fiberock brand panels, glue third layer finished with 3-32" thick gypsum veneer plaster skim coat</t>
    </r>
  </si>
  <si>
    <r>
      <t xml:space="preserve">General Notes: </t>
    </r>
    <r>
      <rPr>
        <b/>
        <sz val="12"/>
        <color rgb="FFFF0000"/>
        <rFont val="Calibri"/>
        <family val="2"/>
        <scheme val="minor"/>
      </rPr>
      <t>The</t>
    </r>
    <r>
      <rPr>
        <b/>
        <sz val="12"/>
        <rFont val="Calibri"/>
        <family val="2"/>
        <scheme val="minor"/>
      </rPr>
      <t xml:space="preserve"> </t>
    </r>
    <r>
      <rPr>
        <b/>
        <sz val="12"/>
        <color rgb="FFFF0000"/>
        <rFont val="Calibri"/>
        <family val="2"/>
        <scheme val="minor"/>
      </rPr>
      <t>prices used are taken from RS Means online i.e. the standard pricing, the company is not responsible for any kind of variations in the prices. So it is preferred to review the prices.</t>
    </r>
  </si>
  <si>
    <r>
      <t xml:space="preserve">General Exclusions: </t>
    </r>
    <r>
      <rPr>
        <b/>
        <sz val="12"/>
        <color rgb="FFFF0000"/>
        <rFont val="Calibri"/>
        <family val="2"/>
        <scheme val="minor"/>
      </rPr>
      <t>Any kind of controlled inspection, contaminated material, architect and engineering fees, security, building charges, signage, sign off, protection of adjoining building (if any), any work not mentioned above.</t>
    </r>
  </si>
  <si>
    <t>UNIT LABOR HOURS</t>
  </si>
  <si>
    <t>PER HOUR LABOR RATE</t>
  </si>
  <si>
    <t>TOTAL LABOR COST</t>
  </si>
  <si>
    <t>TOTAL LABOR HOURS</t>
  </si>
  <si>
    <t>UNIT MATERIAL COST</t>
  </si>
  <si>
    <t>TOTAL MATERIAL COST</t>
  </si>
  <si>
    <t>ITEM COST</t>
  </si>
  <si>
    <t>EA</t>
  </si>
  <si>
    <t>LF</t>
  </si>
  <si>
    <t>SF</t>
  </si>
  <si>
    <t>WOODEN POSTS</t>
  </si>
  <si>
    <t>HOLDOWNS/ MISC. HARDWARE</t>
  </si>
  <si>
    <t>S202, S205</t>
  </si>
  <si>
    <t>S205</t>
  </si>
  <si>
    <t>S202</t>
  </si>
  <si>
    <t>See legend note</t>
  </si>
  <si>
    <t>See connector schedule</t>
  </si>
  <si>
    <t>S203</t>
  </si>
  <si>
    <t>S202-203, S205</t>
  </si>
  <si>
    <t>S203, S205</t>
  </si>
  <si>
    <t>S201</t>
  </si>
  <si>
    <t>WOODEN BEAMS/ HEADERS</t>
  </si>
  <si>
    <t>S203-205</t>
  </si>
  <si>
    <t>S203-204</t>
  </si>
  <si>
    <t>Girder Truss</t>
  </si>
  <si>
    <t>S204-205</t>
  </si>
  <si>
    <t>TRIMS</t>
  </si>
  <si>
    <t>A201-205</t>
  </si>
  <si>
    <t>S206</t>
  </si>
  <si>
    <t>WALL FRAMING</t>
  </si>
  <si>
    <t>9A/S409</t>
  </si>
  <si>
    <t>FENCE</t>
  </si>
  <si>
    <t>A206</t>
  </si>
  <si>
    <t>A106</t>
  </si>
  <si>
    <t>A101, A206</t>
  </si>
  <si>
    <t>3,8/A206</t>
  </si>
  <si>
    <t>A102-105</t>
  </si>
  <si>
    <t>WOOD DECK/ SHEATHING</t>
  </si>
  <si>
    <t>S202-203</t>
  </si>
  <si>
    <t>STAIRS</t>
  </si>
  <si>
    <t>A501, A503</t>
  </si>
  <si>
    <t>3-4/A501</t>
  </si>
  <si>
    <t>4/A501</t>
  </si>
  <si>
    <t>17/A503</t>
  </si>
  <si>
    <t>1-2/A501</t>
  </si>
  <si>
    <t>A701</t>
  </si>
  <si>
    <t>1-2/A702</t>
  </si>
  <si>
    <t>1-2/A706</t>
  </si>
  <si>
    <t>C/A704</t>
  </si>
  <si>
    <t>1-2/A803</t>
  </si>
  <si>
    <t>Hip Truss</t>
  </si>
  <si>
    <t>Gable Truss</t>
  </si>
  <si>
    <t>A603</t>
  </si>
  <si>
    <t>A601-602, A607, A609-611</t>
  </si>
  <si>
    <t>A601611</t>
  </si>
  <si>
    <t>(11-7/8") TJI360 Floor joists @ 16" O.C.</t>
  </si>
  <si>
    <t>JOISTS/ RAFTERS/ TRUSSES</t>
  </si>
  <si>
    <t>S404-410</t>
  </si>
  <si>
    <t>5/S405, 8/S408</t>
  </si>
  <si>
    <t>2/S402</t>
  </si>
  <si>
    <t>7/S407</t>
  </si>
  <si>
    <t>A102</t>
  </si>
  <si>
    <t>See Note #4 on "S202"</t>
  </si>
  <si>
    <t>See Note #1 on "S204"</t>
  </si>
  <si>
    <t>S401-410</t>
  </si>
  <si>
    <t>1/S401</t>
  </si>
  <si>
    <t>2/A206</t>
  </si>
  <si>
    <t>5/S405</t>
  </si>
  <si>
    <t>DIVISION 06 — WOOD, PLASTICS &amp; COMPOSITES</t>
  </si>
  <si>
    <t>Wood Fence at Site Wall:</t>
  </si>
  <si>
    <t>(2x6) Interior Partition Wall:</t>
  </si>
  <si>
    <t>(2x4) Interior Partition Wall:</t>
  </si>
  <si>
    <t>(2x6) Exterior Furring Wall:</t>
  </si>
  <si>
    <t>(2X6) Wood Studs @ 16" O.C.</t>
  </si>
  <si>
    <t>(2X6) Top Double Wood Stud</t>
  </si>
  <si>
    <t>(2X6) Bottom Single Wood Stud</t>
  </si>
  <si>
    <t/>
  </si>
  <si>
    <t>(2X4) Wood Studs @ 16" O.C.</t>
  </si>
  <si>
    <t>(2X4) Top Double Wood Stud</t>
  </si>
  <si>
    <t>(2X4) Bottom Single Wood Stud</t>
  </si>
  <si>
    <t>(6X6, 9'6"H) Wooden Post</t>
  </si>
  <si>
    <t>(6X6, 3'8"H) Wooden Post</t>
  </si>
  <si>
    <t>(4X6, 9'6"H) Wooden Post</t>
  </si>
  <si>
    <t>Holdown By Simpson (Hd-1)</t>
  </si>
  <si>
    <t>Stepped Wooden Column Capital</t>
  </si>
  <si>
    <t>(5-1/2X12) Glue-Lam Beam</t>
  </si>
  <si>
    <t>(5-1/2X15) Glue-Lam Beam</t>
  </si>
  <si>
    <t>(5-1/2X13-1/2) Glue-Lam Beam</t>
  </si>
  <si>
    <t>(5-1/2X16-1/2) Glue-Lam Beam</t>
  </si>
  <si>
    <t>(5-1/2X10-1/2) Glue-Lam Beam</t>
  </si>
  <si>
    <t>(6X10) Ridge Beam</t>
  </si>
  <si>
    <t>(6X10) Trellis Beam</t>
  </si>
  <si>
    <t>(6X12) Header Beam</t>
  </si>
  <si>
    <t>(6X10) Header Beam</t>
  </si>
  <si>
    <t>(6X8) Header Beam</t>
  </si>
  <si>
    <t>(6X6) Header Beam</t>
  </si>
  <si>
    <t>(6X4) Header Beam</t>
  </si>
  <si>
    <t>(2X12) Blocking @ 24" O.C.</t>
  </si>
  <si>
    <t>(2X8) Blocking @ High &amp; Low Roof Eaves</t>
  </si>
  <si>
    <t>(2X12) Rim @ Low Roof Eave</t>
  </si>
  <si>
    <t>(2X6) Blocking Over Header Beams</t>
  </si>
  <si>
    <t>Pre-Engineered Manufactured Trusses @ 24" O.C.</t>
  </si>
  <si>
    <t>(2X8) Rafters At Trellis @ 12" O.C.</t>
  </si>
  <si>
    <t>(1/2") Ext. Plywood Sheathing @ Exterior Walls</t>
  </si>
  <si>
    <t>(3/4") Ext. Plywood Sheathing @ Laundry/ Safe Room Ceiling</t>
  </si>
  <si>
    <t>(3/4") Ext. Plywood Sheathing @ Laundry/ Safe Room Walls</t>
  </si>
  <si>
    <t>(3/4") Stair Deck</t>
  </si>
  <si>
    <t>Engineered Wood Flooring</t>
  </si>
  <si>
    <t>(2X10) Stair Stringer</t>
  </si>
  <si>
    <t>(3'H) Hardwood Guardrail</t>
  </si>
  <si>
    <t>(3'H) Hardwood Handrail</t>
  </si>
  <si>
    <t>(4") Hardwood Base</t>
  </si>
  <si>
    <t>(9-1/2"W X 3/4"Thk.) Hardwood Trim</t>
  </si>
  <si>
    <t>(7-1/2"W X 3/4"Thk.) Hardwood Trim</t>
  </si>
  <si>
    <t>(5-1/2"W X 3/4"Thk.) Hardwood Trim</t>
  </si>
  <si>
    <t>(3-1/2"W X 3/4"Thk.) Hardwood Trim</t>
  </si>
  <si>
    <t>(2-1/2"W X 3/4"Thk.) Hardwood Trim</t>
  </si>
  <si>
    <t>(6") Exterior Siding Trim</t>
  </si>
  <si>
    <t>(4") Exterior Siding Trim</t>
  </si>
  <si>
    <t>(3-1/2"W X 3/4"Thk.) Base Trim @ Trellis Columns</t>
  </si>
  <si>
    <t>(3-1/2"W X 1-1/2"Thk.) Wood Trim</t>
  </si>
  <si>
    <t>(3-1/2"W X 5/4"Thk.) Door Exterior Trim</t>
  </si>
  <si>
    <t>(3-1/2"W X 3/4"Thk.) Door Interior Trim</t>
  </si>
  <si>
    <t>(3-1/2"W X 5/4"Thk.) Window Exterior Trim</t>
  </si>
  <si>
    <t>(3-1/2"W X 5/4"Thk.) Window Interior Trim</t>
  </si>
  <si>
    <t>(3/4") Ext. Plywood</t>
  </si>
  <si>
    <t>(2X4) Wood Blocking</t>
  </si>
  <si>
    <t>(2-1/2"X9-1/2"Thk.) Wood Bottom Cap</t>
  </si>
  <si>
    <t>(2-1/2"X9-1/2"Thk.) Wood Top Cap</t>
  </si>
  <si>
    <t xml:space="preserve">"CCQM" Column Cap </t>
  </si>
  <si>
    <t xml:space="preserve">"HGUM" Beam Hanger </t>
  </si>
  <si>
    <t xml:space="preserve">"HGUM" Beam Hanger/ One Flange Concealed </t>
  </si>
  <si>
    <t xml:space="preserve">"HGU" Beam Hanger </t>
  </si>
  <si>
    <t>"HGA10" Shear Transfer Clips @ 48" O.C.</t>
  </si>
  <si>
    <t xml:space="preserve">"CCTQM" Column Cap </t>
  </si>
  <si>
    <t xml:space="preserve">"CCQ" Column Cap </t>
  </si>
  <si>
    <t xml:space="preserve">"HUCQ" Beam Hanger </t>
  </si>
  <si>
    <t xml:space="preserve">"HU" Beam Hanger Sloped &amp; Screwed </t>
  </si>
  <si>
    <t xml:space="preserve">"DTT2Z" Tie Tension Each Side </t>
  </si>
  <si>
    <t xml:space="preserve">"MSTC40" Drag Strut Strap Nailed To Top Of Beam &amp; Wall Plate </t>
  </si>
  <si>
    <t>St. Steel "CBSQ" Or Similar Post Base Embed. In Wall</t>
  </si>
  <si>
    <t>(2X12) LSL Ledger w/ (3/4"Dia. X 4") Embed. Titen HD Anchors Or Epoxied Threaded Rods @ 32" O.C.</t>
  </si>
  <si>
    <t>(3X10) LSL Ledger w/ (3/4"Dia. X 4") Embed. Titen HD Anchors Or Epoxied Threaded Rods @ 32" O.C.</t>
  </si>
  <si>
    <t>(2X6) Ledger @ Gable Truss</t>
  </si>
  <si>
    <t>(2x8) Ceiling Joists @ 24" O.C.</t>
  </si>
  <si>
    <t>(4x10) D.F. #1 Roof Joists @ 24" O.C.</t>
  </si>
  <si>
    <t>(2x8) Eave Joists @ 24" O.C.</t>
  </si>
  <si>
    <t>(1-1/8") T&amp;G Plywood Floor Deck, Glued &amp; Nailed w/ 10D @ 4" O.C. At Edge &amp; 12" O.C. In Field</t>
  </si>
  <si>
    <t>1X IPE Decking @ Makai Lanai</t>
  </si>
  <si>
    <t>(5/8") Ext. Plywood Roof Deck, Glued &amp; Nailed w/ 10D @ 4" O.C. At Edge &amp; 12" O.C. In Field</t>
  </si>
  <si>
    <t>HTT4 Shear Wall Holdown w/ (5/8"Dia.) Embed. (Hd-2)
- Lag Screw Into Beam &amp; Double Stud Boundary Post</t>
  </si>
  <si>
    <t>HTT4 Shear Wall Holdown w/ (5/8"Dia.) Embed. (Hd)
- Threaded Rod Drill/ Epoxied &amp; Double Stud Boundary Post</t>
  </si>
  <si>
    <t>LOCATION: 1318 MOKULUA DRIVE, KAILUA, HAWAII 96734</t>
  </si>
  <si>
    <t>PROJECT: A NEW SINGLE FAMILY HOME</t>
  </si>
  <si>
    <r>
      <t xml:space="preserve">(3") Exterior Siding Corner Trim
</t>
    </r>
    <r>
      <rPr>
        <b/>
        <sz val="12"/>
        <color rgb="FFFF0000"/>
        <rFont val="Calibri"/>
        <family val="2"/>
        <scheme val="minor"/>
      </rPr>
      <t>(Assumed At Corners)</t>
    </r>
  </si>
  <si>
    <r>
      <t xml:space="preserve">(7-1/2"W X 1-1/4"Thk.) Hardwood Fascia @ Ceiling Soffits
</t>
    </r>
    <r>
      <rPr>
        <b/>
        <sz val="12"/>
        <color rgb="FFFF0000"/>
        <rFont val="Calibri"/>
        <family val="2"/>
        <scheme val="minor"/>
      </rPr>
      <t>(Assumed At All Similar Soffits)</t>
    </r>
  </si>
  <si>
    <t>(5/8") Ext. Plywood Roof Deck @ Eaves</t>
  </si>
  <si>
    <t>(5/8") Ext. Plywood Over 2X Framing @ Trellis Columns</t>
  </si>
  <si>
    <t>(1-1/4"X3-1/2") Wood Batten</t>
  </si>
  <si>
    <t xml:space="preserve">"ECCQ" Or "ECCLQ" Column Cap </t>
  </si>
  <si>
    <r>
      <rPr>
        <b/>
        <sz val="13"/>
        <color rgb="FFFF0000"/>
        <rFont val="Calibri"/>
        <family val="2"/>
        <scheme val="minor"/>
      </rPr>
      <t xml:space="preserve">Web: </t>
    </r>
    <r>
      <rPr>
        <b/>
        <sz val="13"/>
        <rFont val="Calibri"/>
        <family val="2"/>
        <scheme val="minor"/>
      </rPr>
      <t xml:space="preserve">http://sigmaestimations.com
</t>
    </r>
    <r>
      <rPr>
        <b/>
        <sz val="13"/>
        <color rgb="FFFF0000"/>
        <rFont val="Calibri"/>
        <family val="2"/>
        <scheme val="minor"/>
      </rPr>
      <t>Email:</t>
    </r>
    <r>
      <rPr>
        <b/>
        <sz val="13"/>
        <rFont val="Calibri"/>
        <family val="2"/>
        <scheme val="minor"/>
      </rPr>
      <t xml:space="preserve"> info@sigmaestimations.com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</si>
</sst>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dd\-mmm\-yy_)"/>
    <numFmt numFmtId="165" formatCode="&quot;$&quot;#,##0"/>
    <numFmt numFmtId="166" formatCode="_(&quot;$&quot;* #,##0.0_);_(&quot;$&quot;* \(#,##0.0\);_(&quot;$&quot;* &quot;-&quot;?_);_(@_)"/>
    <numFmt numFmtId="167" formatCode="_(&quot;$&quot;* #,##0_);_(&quot;$&quot;* \(#,##0\);_(&quot;$&quot;* &quot;-&quot;??_);_(@_)"/>
    <numFmt numFmtId="168" formatCode="0.0%"/>
    <numFmt numFmtId="169" formatCode="000000"/>
    <numFmt numFmtId="170" formatCode="0.000"/>
  </numFmts>
  <fonts count="63"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2"/>
      <color theme="1"/>
      <name val="Calibri"/>
      <family val="2"/>
    </font>
    <font>
      <sz val="12"/>
      <color theme="1"/>
      <name val="Calibri"/>
      <family val="2"/>
    </font>
    <font>
      <sz val="12"/>
      <color theme="1"/>
      <name val="Calibri"/>
      <family val="2"/>
    </font>
    <font>
      <sz val="11"/>
      <color theme="1"/>
      <name val="Calibri"/>
      <family val="2"/>
      <scheme val="minor"/>
    </font>
    <font>
      <sz val="11"/>
      <color theme="1"/>
      <name val="Calibri"/>
      <family val="2"/>
      <scheme val="minor"/>
    </font>
    <font>
      <b/>
      <sz val="12"/>
      <name val="Verdana"/>
      <family val="2"/>
    </font>
    <font>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family val="2"/>
    </font>
    <font>
      <sz val="10"/>
      <name val="Arial"/>
      <family val="2"/>
    </font>
    <font>
      <sz val="12"/>
      <name val="Calibri"/>
      <family val="2"/>
      <scheme val="minor"/>
    </font>
    <font>
      <b/>
      <sz val="12"/>
      <name val="Calibri"/>
      <family val="2"/>
      <scheme val="minor"/>
    </font>
    <font>
      <sz val="12"/>
      <color indexed="9"/>
      <name val="Calibri"/>
      <family val="2"/>
      <scheme val="minor"/>
    </font>
    <font>
      <b/>
      <sz val="12"/>
      <color theme="0"/>
      <name val="Calibri"/>
      <family val="2"/>
      <scheme val="minor"/>
    </font>
    <font>
      <u/>
      <sz val="12"/>
      <name val="Calibri"/>
      <family val="2"/>
      <scheme val="minor"/>
    </font>
    <font>
      <sz val="12"/>
      <color rgb="FF00B050"/>
      <name val="Calibri"/>
      <family val="2"/>
      <scheme val="minor"/>
    </font>
    <font>
      <b/>
      <sz val="12"/>
      <color theme="1"/>
      <name val="Calibri"/>
      <family val="2"/>
      <scheme val="minor"/>
    </font>
    <font>
      <sz val="12"/>
      <color theme="1"/>
      <name val="Calibri"/>
      <family val="2"/>
      <scheme val="minor"/>
    </font>
    <font>
      <sz val="12"/>
      <color rgb="FFC00000"/>
      <name val="Calibri"/>
      <family val="2"/>
      <scheme val="minor"/>
    </font>
    <font>
      <b/>
      <sz val="12"/>
      <color rgb="FFC00000"/>
      <name val="Calibri"/>
      <family val="2"/>
      <scheme val="minor"/>
    </font>
    <font>
      <sz val="12"/>
      <color rgb="FFFFC000"/>
      <name val="Calibri"/>
      <family val="2"/>
      <scheme val="minor"/>
    </font>
    <font>
      <sz val="12"/>
      <color rgb="FF92D050"/>
      <name val="Calibri"/>
      <family val="2"/>
      <scheme val="minor"/>
    </font>
    <font>
      <b/>
      <sz val="12"/>
      <color rgb="FFFFC000"/>
      <name val="Calibri"/>
      <family val="2"/>
      <scheme val="minor"/>
    </font>
    <font>
      <sz val="12"/>
      <color rgb="FF0070C0"/>
      <name val="Calibri"/>
      <family val="2"/>
      <scheme val="minor"/>
    </font>
    <font>
      <sz val="12"/>
      <color rgb="FF002060"/>
      <name val="Calibri"/>
      <family val="2"/>
      <scheme val="minor"/>
    </font>
    <font>
      <sz val="12"/>
      <color rgb="FF00B0F0"/>
      <name val="Calibri"/>
      <family val="2"/>
      <scheme val="minor"/>
    </font>
    <font>
      <sz val="12"/>
      <color rgb="FFFF0000"/>
      <name val="Calibri"/>
      <family val="2"/>
      <scheme val="minor"/>
    </font>
    <font>
      <b/>
      <sz val="12"/>
      <color rgb="FFFF0000"/>
      <name val="Calibri"/>
      <family val="2"/>
      <scheme val="minor"/>
    </font>
    <font>
      <sz val="12"/>
      <name val="Arial"/>
      <family val="2"/>
    </font>
    <font>
      <b/>
      <sz val="13"/>
      <name val="Calibri"/>
      <family val="2"/>
      <scheme val="minor"/>
    </font>
    <font>
      <b/>
      <sz val="13"/>
      <color rgb="FFFF0000"/>
      <name val="Calibri"/>
      <family val="2"/>
      <scheme val="minor"/>
    </font>
    <font>
      <u/>
      <sz val="12"/>
      <color theme="10"/>
      <name val="Arial"/>
      <family val="2"/>
    </font>
    <font>
      <b/>
      <sz val="14"/>
      <color theme="0"/>
      <name val="Calibri"/>
      <family val="2"/>
      <scheme val="minor"/>
    </font>
    <font>
      <sz val="11"/>
      <name val="Calibri"/>
      <family val="1"/>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249977111117893"/>
        <bgColor indexed="64"/>
      </patternFill>
    </fill>
    <fill>
      <patternFill patternType="darkGrid">
        <fgColor theme="3" tint="0.39994506668294322"/>
        <bgColor theme="6" tint="-0.24994659260841701"/>
      </patternFill>
    </fill>
    <fill>
      <patternFill patternType="solid">
        <fgColor theme="4" tint="0.59999389629810485"/>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3" tint="0.39997558519241921"/>
        <bgColor indexed="64"/>
      </patternFill>
    </fill>
  </fills>
  <borders count="5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top style="thin">
        <color indexed="8"/>
      </top>
      <bottom style="thin">
        <color indexed="8"/>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8"/>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s>
  <cellStyleXfs count="86">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2" fillId="3" borderId="0" applyNumberFormat="0" applyBorder="0" applyAlignment="0" applyProtection="0"/>
    <xf numFmtId="0" fontId="23" fillId="20" borderId="1" applyNumberFormat="0" applyAlignment="0" applyProtection="0"/>
    <xf numFmtId="0" fontId="24" fillId="21" borderId="2" applyNumberFormat="0" applyAlignment="0" applyProtection="0"/>
    <xf numFmtId="0" fontId="25" fillId="0" borderId="0" applyNumberFormat="0" applyFill="0" applyBorder="0" applyAlignment="0" applyProtection="0"/>
    <xf numFmtId="0" fontId="26" fillId="4"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7" borderId="1" applyNumberFormat="0" applyAlignment="0" applyProtection="0"/>
    <xf numFmtId="0" fontId="31" fillId="0" borderId="6" applyNumberFormat="0" applyFill="0" applyAlignment="0" applyProtection="0"/>
    <xf numFmtId="0" fontId="32" fillId="22" borderId="0" applyNumberFormat="0" applyBorder="0" applyAlignment="0" applyProtection="0"/>
    <xf numFmtId="0" fontId="19" fillId="0" borderId="0"/>
    <xf numFmtId="0" fontId="19" fillId="23" borderId="7" applyNumberFormat="0" applyFont="0" applyAlignment="0" applyProtection="0"/>
    <xf numFmtId="0" fontId="33" fillId="20"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17" fillId="0" borderId="0"/>
    <xf numFmtId="0" fontId="37" fillId="0" borderId="0"/>
    <xf numFmtId="0" fontId="19" fillId="0" borderId="0"/>
    <xf numFmtId="43" fontId="37" fillId="0" borderId="0" applyFont="0" applyFill="0" applyBorder="0" applyAlignment="0" applyProtection="0"/>
    <xf numFmtId="0" fontId="38" fillId="0" borderId="0"/>
    <xf numFmtId="43" fontId="19" fillId="0" borderId="0" applyFont="0" applyFill="0" applyBorder="0" applyAlignment="0" applyProtection="0"/>
    <xf numFmtId="0" fontId="19" fillId="0" borderId="0"/>
    <xf numFmtId="44" fontId="38" fillId="0" borderId="0" applyFont="0" applyFill="0" applyBorder="0" applyAlignment="0" applyProtection="0"/>
    <xf numFmtId="0" fontId="16" fillId="0" borderId="0"/>
    <xf numFmtId="0" fontId="19" fillId="0" borderId="0"/>
    <xf numFmtId="0" fontId="16" fillId="0" borderId="0"/>
    <xf numFmtId="44" fontId="57" fillId="0" borderId="0" applyFont="0" applyFill="0" applyBorder="0" applyAlignment="0" applyProtection="0"/>
    <xf numFmtId="9" fontId="57" fillId="0" borderId="0" applyFont="0" applyFill="0" applyBorder="0" applyAlignment="0" applyProtection="0"/>
    <xf numFmtId="0" fontId="15" fillId="0" borderId="0"/>
    <xf numFmtId="0" fontId="14" fillId="0" borderId="0"/>
    <xf numFmtId="0" fontId="13" fillId="0" borderId="0"/>
    <xf numFmtId="0" fontId="12" fillId="0" borderId="0"/>
    <xf numFmtId="0" fontId="39" fillId="29" borderId="31" applyBorder="0">
      <alignment horizontal="center" vertical="center" wrapText="1"/>
    </xf>
    <xf numFmtId="0" fontId="19" fillId="23" borderId="7" applyNumberFormat="0" applyFont="0" applyAlignment="0" applyProtection="0"/>
    <xf numFmtId="0" fontId="11" fillId="0" borderId="0"/>
    <xf numFmtId="0" fontId="10" fillId="0" borderId="0"/>
    <xf numFmtId="44" fontId="19" fillId="0" borderId="0" applyFont="0" applyFill="0" applyBorder="0" applyAlignment="0" applyProtection="0"/>
    <xf numFmtId="0" fontId="19" fillId="23" borderId="7" applyNumberFormat="0" applyFont="0" applyAlignment="0" applyProtection="0"/>
    <xf numFmtId="0" fontId="9" fillId="0" borderId="0"/>
    <xf numFmtId="0" fontId="9"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8" fillId="0" borderId="0"/>
    <xf numFmtId="0" fontId="7" fillId="0" borderId="0"/>
    <xf numFmtId="0" fontId="19" fillId="23" borderId="7" applyNumberFormat="0" applyFont="0" applyAlignment="0" applyProtection="0"/>
    <xf numFmtId="44" fontId="19" fillId="0" borderId="0" applyFont="0" applyFill="0" applyBorder="0" applyAlignment="0" applyProtection="0"/>
    <xf numFmtId="0" fontId="33" fillId="20" borderId="8" applyNumberFormat="0" applyAlignment="0" applyProtection="0"/>
    <xf numFmtId="0" fontId="60" fillId="0" borderId="0" applyNumberFormat="0" applyFill="0" applyBorder="0" applyAlignment="0" applyProtection="0"/>
    <xf numFmtId="0" fontId="6" fillId="0" borderId="0"/>
    <xf numFmtId="0" fontId="5" fillId="0" borderId="0"/>
    <xf numFmtId="9" fontId="62" fillId="0" borderId="0"/>
    <xf numFmtId="0" fontId="4" fillId="0" borderId="0"/>
    <xf numFmtId="0" fontId="3" fillId="0" borderId="0"/>
    <xf numFmtId="0" fontId="62" fillId="0" borderId="0"/>
    <xf numFmtId="43" fontId="62" fillId="0" borderId="0"/>
    <xf numFmtId="43" fontId="62" fillId="0" borderId="0"/>
    <xf numFmtId="0" fontId="2" fillId="0" borderId="0"/>
    <xf numFmtId="0" fontId="1" fillId="0" borderId="0"/>
  </cellStyleXfs>
  <cellXfs count="225">
    <xf numFmtId="0" fontId="0" fillId="0" borderId="0" xfId="0"/>
    <xf numFmtId="2" fontId="18" fillId="0" borderId="0" xfId="0" applyNumberFormat="1" applyFont="1" applyAlignment="1">
      <alignment horizontal="left" vertical="center"/>
    </xf>
    <xf numFmtId="2" fontId="39" fillId="0" borderId="0" xfId="0" applyNumberFormat="1" applyFont="1" applyAlignment="1">
      <alignment horizontal="left" vertical="center"/>
    </xf>
    <xf numFmtId="2" fontId="39" fillId="0" borderId="0" xfId="0" applyNumberFormat="1" applyFont="1" applyAlignment="1">
      <alignment horizontal="center" vertical="center"/>
    </xf>
    <xf numFmtId="2" fontId="39" fillId="0" borderId="0" xfId="0" applyNumberFormat="1" applyFont="1" applyAlignment="1">
      <alignment vertical="center"/>
    </xf>
    <xf numFmtId="0" fontId="39" fillId="0" borderId="0" xfId="0" applyFont="1" applyAlignment="1">
      <alignment vertical="center"/>
    </xf>
    <xf numFmtId="0" fontId="39" fillId="0" borderId="0" xfId="0" applyFont="1" applyAlignment="1">
      <alignment horizontal="center" vertical="center"/>
    </xf>
    <xf numFmtId="165" fontId="39" fillId="0" borderId="0" xfId="0" applyNumberFormat="1" applyFont="1" applyAlignment="1">
      <alignment vertical="center"/>
    </xf>
    <xf numFmtId="2" fontId="39" fillId="0" borderId="0" xfId="0" applyNumberFormat="1" applyFont="1" applyAlignment="1">
      <alignment vertical="center" wrapText="1"/>
    </xf>
    <xf numFmtId="165" fontId="40" fillId="0" borderId="0" xfId="0" applyNumberFormat="1" applyFont="1" applyAlignment="1">
      <alignment horizontal="center" vertical="center"/>
    </xf>
    <xf numFmtId="164" fontId="40" fillId="0" borderId="0" xfId="0" applyNumberFormat="1" applyFont="1" applyAlignment="1">
      <alignment horizontal="center" vertical="center"/>
    </xf>
    <xf numFmtId="0" fontId="41" fillId="0" borderId="0" xfId="0" applyFont="1" applyAlignment="1">
      <alignment horizontal="center" vertical="center" wrapText="1"/>
    </xf>
    <xf numFmtId="0" fontId="39" fillId="0" borderId="12" xfId="0" applyFont="1" applyBorder="1" applyAlignment="1">
      <alignment horizontal="right" vertical="center" wrapText="1"/>
    </xf>
    <xf numFmtId="0" fontId="39" fillId="0" borderId="12" xfId="0" applyFont="1" applyBorder="1" applyAlignment="1">
      <alignment vertical="center"/>
    </xf>
    <xf numFmtId="0" fontId="39" fillId="25" borderId="10" xfId="0" applyFont="1" applyFill="1" applyBorder="1" applyAlignment="1">
      <alignment vertical="center" wrapText="1"/>
    </xf>
    <xf numFmtId="0" fontId="39" fillId="25" borderId="10" xfId="0" applyFont="1" applyFill="1" applyBorder="1" applyAlignment="1">
      <alignment horizontal="center" vertical="center"/>
    </xf>
    <xf numFmtId="165" fontId="39" fillId="25" borderId="10" xfId="0" applyNumberFormat="1" applyFont="1" applyFill="1" applyBorder="1" applyAlignment="1">
      <alignment vertical="center"/>
    </xf>
    <xf numFmtId="2" fontId="18" fillId="0" borderId="0" xfId="0" applyNumberFormat="1" applyFont="1" applyAlignment="1">
      <alignment horizontal="right" vertical="center"/>
    </xf>
    <xf numFmtId="42" fontId="39" fillId="0" borderId="0" xfId="0" applyNumberFormat="1" applyFont="1" applyAlignment="1">
      <alignment horizontal="left" vertical="center"/>
    </xf>
    <xf numFmtId="166" fontId="39" fillId="0" borderId="0" xfId="0" applyNumberFormat="1" applyFont="1" applyAlignment="1">
      <alignment horizontal="left" vertical="center"/>
    </xf>
    <xf numFmtId="2" fontId="39" fillId="0" borderId="0" xfId="0" applyNumberFormat="1" applyFont="1" applyAlignment="1">
      <alignment horizontal="center" vertical="center" wrapText="1"/>
    </xf>
    <xf numFmtId="0" fontId="39" fillId="25" borderId="10" xfId="0" applyFont="1" applyFill="1" applyBorder="1" applyAlignment="1">
      <alignment horizontal="center" vertical="center" wrapText="1"/>
    </xf>
    <xf numFmtId="165" fontId="39" fillId="0" borderId="12" xfId="0" applyNumberFormat="1" applyFont="1" applyBorder="1" applyAlignment="1">
      <alignment horizontal="center" vertical="center"/>
    </xf>
    <xf numFmtId="0" fontId="39" fillId="0" borderId="0" xfId="0" applyFont="1" applyAlignment="1">
      <alignment horizontal="center" vertical="top"/>
    </xf>
    <xf numFmtId="0" fontId="42" fillId="24" borderId="13" xfId="0" applyFont="1" applyFill="1" applyBorder="1" applyAlignment="1">
      <alignment horizontal="center" vertical="top" wrapText="1"/>
    </xf>
    <xf numFmtId="2" fontId="42" fillId="24" borderId="14" xfId="0" applyNumberFormat="1" applyFont="1" applyFill="1" applyBorder="1" applyAlignment="1">
      <alignment horizontal="center" vertical="center" wrapText="1"/>
    </xf>
    <xf numFmtId="0" fontId="42" fillId="24" borderId="14" xfId="0" applyFont="1" applyFill="1" applyBorder="1" applyAlignment="1">
      <alignment horizontal="center" vertical="center" wrapText="1"/>
    </xf>
    <xf numFmtId="0" fontId="42" fillId="24" borderId="15" xfId="0" applyFont="1" applyFill="1" applyBorder="1" applyAlignment="1">
      <alignment horizontal="center" vertical="center" wrapText="1"/>
    </xf>
    <xf numFmtId="0" fontId="39" fillId="0" borderId="17" xfId="0" applyFont="1" applyBorder="1" applyAlignment="1">
      <alignment horizontal="center" vertical="top"/>
    </xf>
    <xf numFmtId="41" fontId="39" fillId="0" borderId="0" xfId="0" applyNumberFormat="1" applyFont="1" applyAlignment="1">
      <alignment horizontal="right" vertical="center"/>
    </xf>
    <xf numFmtId="0" fontId="39" fillId="0" borderId="0" xfId="0" applyFont="1" applyAlignment="1">
      <alignment horizontal="left" vertical="center"/>
    </xf>
    <xf numFmtId="0" fontId="39" fillId="0" borderId="0" xfId="0" applyFont="1" applyAlignment="1">
      <alignment horizontal="left" vertical="center" wrapText="1"/>
    </xf>
    <xf numFmtId="0" fontId="39" fillId="0" borderId="12" xfId="0" applyFont="1" applyBorder="1" applyAlignment="1">
      <alignment horizontal="center" vertical="center"/>
    </xf>
    <xf numFmtId="166" fontId="43" fillId="0" borderId="0" xfId="0" applyNumberFormat="1" applyFont="1" applyAlignment="1">
      <alignment horizontal="left" vertical="center"/>
    </xf>
    <xf numFmtId="0" fontId="43" fillId="0" borderId="0" xfId="0" applyFont="1" applyAlignment="1">
      <alignment vertical="center"/>
    </xf>
    <xf numFmtId="0" fontId="40" fillId="25" borderId="16" xfId="0" quotePrefix="1" applyFont="1" applyFill="1" applyBorder="1" applyAlignment="1">
      <alignment horizontal="center" vertical="top"/>
    </xf>
    <xf numFmtId="0" fontId="40" fillId="0" borderId="11" xfId="0" applyFont="1" applyBorder="1" applyAlignment="1">
      <alignment horizontal="center" vertical="top"/>
    </xf>
    <xf numFmtId="42" fontId="40" fillId="0" borderId="12" xfId="0" applyNumberFormat="1" applyFont="1" applyBorder="1" applyAlignment="1">
      <alignment vertical="center"/>
    </xf>
    <xf numFmtId="166" fontId="44" fillId="0" borderId="0" xfId="0" applyNumberFormat="1" applyFont="1" applyAlignment="1">
      <alignment horizontal="left" vertical="center"/>
    </xf>
    <xf numFmtId="0" fontId="45" fillId="25" borderId="10" xfId="0" applyFont="1" applyFill="1" applyBorder="1" applyAlignment="1">
      <alignment vertical="center" wrapText="1"/>
    </xf>
    <xf numFmtId="41" fontId="46" fillId="0" borderId="0" xfId="0" applyNumberFormat="1" applyFont="1" applyAlignment="1">
      <alignment horizontal="right" vertical="center"/>
    </xf>
    <xf numFmtId="2" fontId="40" fillId="0" borderId="0" xfId="0" applyNumberFormat="1" applyFont="1" applyAlignment="1">
      <alignment vertical="center" wrapText="1"/>
    </xf>
    <xf numFmtId="0" fontId="39" fillId="0" borderId="0" xfId="0" applyFont="1" applyAlignment="1">
      <alignment vertical="center" wrapText="1"/>
    </xf>
    <xf numFmtId="0" fontId="39" fillId="0" borderId="0" xfId="0" applyFont="1" applyAlignment="1">
      <alignment horizontal="left" vertical="top" wrapText="1"/>
    </xf>
    <xf numFmtId="0" fontId="40" fillId="0" borderId="0" xfId="0" applyFont="1" applyAlignment="1">
      <alignment horizontal="left" vertical="center" wrapText="1"/>
    </xf>
    <xf numFmtId="0" fontId="39" fillId="0" borderId="0" xfId="0" applyFont="1" applyAlignment="1">
      <alignment vertical="top" wrapText="1"/>
    </xf>
    <xf numFmtId="0" fontId="40" fillId="0" borderId="0" xfId="0" applyFont="1" applyAlignment="1">
      <alignment vertical="center"/>
    </xf>
    <xf numFmtId="0" fontId="46" fillId="0" borderId="0" xfId="0" applyFont="1" applyAlignment="1">
      <alignment horizontal="left" vertical="center" wrapText="1"/>
    </xf>
    <xf numFmtId="0" fontId="39" fillId="0" borderId="0" xfId="0" quotePrefix="1" applyFont="1" applyAlignment="1">
      <alignment horizontal="left" vertical="center" wrapText="1"/>
    </xf>
    <xf numFmtId="0" fontId="46" fillId="0" borderId="0" xfId="0" applyFont="1" applyAlignment="1">
      <alignment horizontal="justify" vertical="center" wrapText="1"/>
    </xf>
    <xf numFmtId="0" fontId="46" fillId="0" borderId="0" xfId="0" applyFont="1" applyAlignment="1">
      <alignment horizontal="left" vertical="center"/>
    </xf>
    <xf numFmtId="0" fontId="40" fillId="0" borderId="0" xfId="0" applyFont="1" applyAlignment="1">
      <alignment vertical="center" wrapText="1"/>
    </xf>
    <xf numFmtId="2" fontId="55" fillId="0" borderId="0" xfId="0" applyNumberFormat="1" applyFont="1" applyAlignment="1">
      <alignment vertical="center" wrapText="1"/>
    </xf>
    <xf numFmtId="2" fontId="56" fillId="0" borderId="0" xfId="0" applyNumberFormat="1" applyFont="1" applyAlignment="1">
      <alignment vertical="center" wrapText="1"/>
    </xf>
    <xf numFmtId="0" fontId="40" fillId="0" borderId="0" xfId="0" applyFont="1" applyAlignment="1">
      <alignment horizontal="center" vertical="center"/>
    </xf>
    <xf numFmtId="0" fontId="40" fillId="0" borderId="11" xfId="0" applyFont="1" applyBorder="1" applyAlignment="1">
      <alignment horizontal="left" vertical="top"/>
    </xf>
    <xf numFmtId="0" fontId="39" fillId="0" borderId="21" xfId="0" applyFont="1" applyBorder="1" applyAlignment="1">
      <alignment horizontal="center" vertical="top"/>
    </xf>
    <xf numFmtId="0" fontId="40" fillId="0" borderId="0" xfId="0" applyFont="1" applyAlignment="1">
      <alignment horizontal="left" vertical="top"/>
    </xf>
    <xf numFmtId="0" fontId="40" fillId="25" borderId="24" xfId="0" quotePrefix="1" applyFont="1" applyFill="1" applyBorder="1" applyAlignment="1">
      <alignment horizontal="center" vertical="top"/>
    </xf>
    <xf numFmtId="0" fontId="39" fillId="0" borderId="27" xfId="0" applyFont="1" applyBorder="1" applyAlignment="1">
      <alignment horizontal="center" vertical="top"/>
    </xf>
    <xf numFmtId="2" fontId="18" fillId="0" borderId="0" xfId="0" applyNumberFormat="1" applyFont="1" applyAlignment="1">
      <alignment horizontal="left" vertical="top"/>
    </xf>
    <xf numFmtId="2" fontId="39" fillId="0" borderId="0" xfId="0" applyNumberFormat="1" applyFont="1" applyAlignment="1">
      <alignment horizontal="center" vertical="top"/>
    </xf>
    <xf numFmtId="2" fontId="39" fillId="0" borderId="0" xfId="0" applyNumberFormat="1" applyFont="1" applyAlignment="1">
      <alignment horizontal="left" vertical="top"/>
    </xf>
    <xf numFmtId="2" fontId="39" fillId="0" borderId="0" xfId="0" applyNumberFormat="1" applyFont="1" applyAlignment="1">
      <alignment vertical="top"/>
    </xf>
    <xf numFmtId="0" fontId="39" fillId="0" borderId="0" xfId="0" applyFont="1" applyAlignment="1">
      <alignment vertical="top"/>
    </xf>
    <xf numFmtId="2" fontId="18" fillId="0" borderId="0" xfId="0" applyNumberFormat="1" applyFont="1" applyAlignment="1">
      <alignment horizontal="right" vertical="top"/>
    </xf>
    <xf numFmtId="165" fontId="39" fillId="0" borderId="0" xfId="0" applyNumberFormat="1" applyFont="1" applyAlignment="1">
      <alignment vertical="top"/>
    </xf>
    <xf numFmtId="2" fontId="39" fillId="0" borderId="0" xfId="0" applyNumberFormat="1" applyFont="1" applyAlignment="1">
      <alignment vertical="top" wrapText="1"/>
    </xf>
    <xf numFmtId="2" fontId="39" fillId="0" borderId="0" xfId="0" applyNumberFormat="1" applyFont="1" applyAlignment="1">
      <alignment horizontal="center" vertical="top" wrapText="1"/>
    </xf>
    <xf numFmtId="165" fontId="40" fillId="0" borderId="0" xfId="0" applyNumberFormat="1" applyFont="1" applyAlignment="1">
      <alignment horizontal="center" vertical="top"/>
    </xf>
    <xf numFmtId="164" fontId="40" fillId="0" borderId="0" xfId="0" applyNumberFormat="1" applyFont="1" applyAlignment="1">
      <alignment horizontal="center" vertical="top"/>
    </xf>
    <xf numFmtId="2" fontId="42" fillId="24" borderId="14" xfId="0" applyNumberFormat="1" applyFont="1" applyFill="1" applyBorder="1" applyAlignment="1">
      <alignment horizontal="center" vertical="top" wrapText="1"/>
    </xf>
    <xf numFmtId="0" fontId="42" fillId="24" borderId="14" xfId="0" applyFont="1" applyFill="1" applyBorder="1" applyAlignment="1">
      <alignment horizontal="center" vertical="top" wrapText="1"/>
    </xf>
    <xf numFmtId="0" fontId="42" fillId="24" borderId="15" xfId="0" applyFont="1" applyFill="1" applyBorder="1" applyAlignment="1">
      <alignment horizontal="center" vertical="top" wrapText="1"/>
    </xf>
    <xf numFmtId="0" fontId="41" fillId="0" borderId="0" xfId="0" applyFont="1" applyAlignment="1">
      <alignment horizontal="center" vertical="top" wrapText="1"/>
    </xf>
    <xf numFmtId="0" fontId="45" fillId="25" borderId="25" xfId="0" applyFont="1" applyFill="1" applyBorder="1" applyAlignment="1">
      <alignment vertical="top" wrapText="1"/>
    </xf>
    <xf numFmtId="0" fontId="39" fillId="25" borderId="25" xfId="0" applyFont="1" applyFill="1" applyBorder="1" applyAlignment="1">
      <alignment horizontal="center" vertical="top" wrapText="1"/>
    </xf>
    <xf numFmtId="0" fontId="39" fillId="25" borderId="25" xfId="0" applyFont="1" applyFill="1" applyBorder="1" applyAlignment="1">
      <alignment horizontal="center" vertical="top"/>
    </xf>
    <xf numFmtId="0" fontId="39" fillId="25" borderId="25" xfId="0" applyFont="1" applyFill="1" applyBorder="1" applyAlignment="1">
      <alignment vertical="top" wrapText="1"/>
    </xf>
    <xf numFmtId="165" fontId="39" fillId="25" borderId="26" xfId="0" applyNumberFormat="1" applyFont="1" applyFill="1" applyBorder="1" applyAlignment="1">
      <alignment vertical="top"/>
    </xf>
    <xf numFmtId="0" fontId="39" fillId="0" borderId="19" xfId="0" applyFont="1" applyBorder="1" applyAlignment="1">
      <alignment vertical="top"/>
    </xf>
    <xf numFmtId="0" fontId="46" fillId="0" borderId="28" xfId="0" applyFont="1" applyBorder="1" applyAlignment="1">
      <alignment horizontal="justify" vertical="top" wrapText="1"/>
    </xf>
    <xf numFmtId="41" fontId="46" fillId="0" borderId="28" xfId="0" applyNumberFormat="1" applyFont="1" applyBorder="1" applyAlignment="1">
      <alignment horizontal="right" vertical="top"/>
    </xf>
    <xf numFmtId="9" fontId="46" fillId="0" borderId="28" xfId="0" applyNumberFormat="1" applyFont="1" applyBorder="1" applyAlignment="1">
      <alignment horizontal="right" vertical="top"/>
    </xf>
    <xf numFmtId="0" fontId="39" fillId="0" borderId="28" xfId="0" applyFont="1" applyBorder="1" applyAlignment="1">
      <alignment horizontal="center" vertical="top"/>
    </xf>
    <xf numFmtId="166" fontId="39" fillId="0" borderId="28" xfId="0" applyNumberFormat="1" applyFont="1" applyBorder="1" applyAlignment="1">
      <alignment horizontal="left" vertical="top"/>
    </xf>
    <xf numFmtId="42" fontId="39" fillId="0" borderId="29" xfId="0" applyNumberFormat="1" applyFont="1" applyBorder="1" applyAlignment="1">
      <alignment horizontal="left" vertical="top"/>
    </xf>
    <xf numFmtId="0" fontId="39" fillId="0" borderId="0" xfId="0" applyFont="1" applyAlignment="1">
      <alignment horizontal="justify" vertical="top" wrapText="1"/>
    </xf>
    <xf numFmtId="41" fontId="46" fillId="0" borderId="0" xfId="0" applyNumberFormat="1" applyFont="1" applyAlignment="1">
      <alignment horizontal="right" vertical="top"/>
    </xf>
    <xf numFmtId="9" fontId="46" fillId="0" borderId="0" xfId="0" applyNumberFormat="1" applyFont="1" applyAlignment="1">
      <alignment horizontal="right" vertical="top"/>
    </xf>
    <xf numFmtId="166" fontId="39" fillId="0" borderId="0" xfId="0" applyNumberFormat="1" applyFont="1" applyAlignment="1">
      <alignment horizontal="left" vertical="top"/>
    </xf>
    <xf numFmtId="42" fontId="39" fillId="0" borderId="20" xfId="0" applyNumberFormat="1" applyFont="1" applyBorder="1" applyAlignment="1">
      <alignment horizontal="left" vertical="top"/>
    </xf>
    <xf numFmtId="0" fontId="39" fillId="0" borderId="0" xfId="0" quotePrefix="1" applyFont="1" applyAlignment="1">
      <alignment horizontal="justify" vertical="top" wrapText="1"/>
    </xf>
    <xf numFmtId="0" fontId="46" fillId="0" borderId="0" xfId="0" applyFont="1" applyAlignment="1">
      <alignment horizontal="left" vertical="top"/>
    </xf>
    <xf numFmtId="0" fontId="43" fillId="0" borderId="19" xfId="0" applyFont="1" applyBorder="1" applyAlignment="1">
      <alignment vertical="top"/>
    </xf>
    <xf numFmtId="0" fontId="43" fillId="0" borderId="0" xfId="0" applyFont="1" applyAlignment="1">
      <alignment vertical="top"/>
    </xf>
    <xf numFmtId="41" fontId="39" fillId="0" borderId="0" xfId="0" applyNumberFormat="1" applyFont="1" applyAlignment="1">
      <alignment horizontal="right" vertical="top"/>
    </xf>
    <xf numFmtId="0" fontId="46" fillId="0" borderId="0" xfId="0" applyFont="1" applyAlignment="1">
      <alignment horizontal="justify" vertical="top" wrapText="1"/>
    </xf>
    <xf numFmtId="0" fontId="46" fillId="0" borderId="22" xfId="0" applyFont="1" applyBorder="1" applyAlignment="1">
      <alignment horizontal="justify" vertical="top" wrapText="1"/>
    </xf>
    <xf numFmtId="41" fontId="39" fillId="0" borderId="22" xfId="0" applyNumberFormat="1" applyFont="1" applyBorder="1" applyAlignment="1">
      <alignment horizontal="right" vertical="top"/>
    </xf>
    <xf numFmtId="9" fontId="39" fillId="0" borderId="22" xfId="0" applyNumberFormat="1" applyFont="1" applyBorder="1" applyAlignment="1">
      <alignment horizontal="right" vertical="top"/>
    </xf>
    <xf numFmtId="41" fontId="46" fillId="0" borderId="22" xfId="0" applyNumberFormat="1" applyFont="1" applyBorder="1" applyAlignment="1">
      <alignment horizontal="right" vertical="top"/>
    </xf>
    <xf numFmtId="0" fontId="39" fillId="0" borderId="22" xfId="0" applyFont="1" applyBorder="1" applyAlignment="1">
      <alignment horizontal="center" vertical="top"/>
    </xf>
    <xf numFmtId="166" fontId="39" fillId="0" borderId="22" xfId="0" applyNumberFormat="1" applyFont="1" applyBorder="1" applyAlignment="1">
      <alignment horizontal="left" vertical="top"/>
    </xf>
    <xf numFmtId="42" fontId="39" fillId="0" borderId="23" xfId="0" applyNumberFormat="1" applyFont="1" applyBorder="1" applyAlignment="1">
      <alignment horizontal="left" vertical="top"/>
    </xf>
    <xf numFmtId="42" fontId="39" fillId="0" borderId="0" xfId="0" applyNumberFormat="1" applyFont="1" applyAlignment="1">
      <alignment horizontal="left" vertical="top"/>
    </xf>
    <xf numFmtId="0" fontId="39" fillId="0" borderId="12" xfId="0" applyFont="1" applyBorder="1" applyAlignment="1">
      <alignment vertical="top"/>
    </xf>
    <xf numFmtId="165" fontId="39" fillId="0" borderId="12" xfId="0" applyNumberFormat="1" applyFont="1" applyBorder="1" applyAlignment="1">
      <alignment horizontal="center" vertical="top"/>
    </xf>
    <xf numFmtId="0" fontId="39" fillId="0" borderId="12" xfId="0" applyFont="1" applyBorder="1" applyAlignment="1">
      <alignment horizontal="center" vertical="top"/>
    </xf>
    <xf numFmtId="0" fontId="39" fillId="0" borderId="12" xfId="0" applyFont="1" applyBorder="1" applyAlignment="1">
      <alignment horizontal="right" vertical="top" wrapText="1"/>
    </xf>
    <xf numFmtId="42" fontId="40" fillId="0" borderId="18" xfId="0" applyNumberFormat="1" applyFont="1" applyBorder="1" applyAlignment="1">
      <alignment vertical="top"/>
    </xf>
    <xf numFmtId="167" fontId="40" fillId="0" borderId="18" xfId="0" applyNumberFormat="1" applyFont="1" applyBorder="1" applyAlignment="1">
      <alignment vertical="top"/>
    </xf>
    <xf numFmtId="165" fontId="39" fillId="0" borderId="0" xfId="0" applyNumberFormat="1" applyFont="1" applyAlignment="1">
      <alignment horizontal="center" vertical="top"/>
    </xf>
    <xf numFmtId="0" fontId="39" fillId="0" borderId="0" xfId="0" applyFont="1" applyAlignment="1">
      <alignment horizontal="right" vertical="top" wrapText="1"/>
    </xf>
    <xf numFmtId="42" fontId="40" fillId="0" borderId="0" xfId="0" applyNumberFormat="1" applyFont="1" applyAlignment="1">
      <alignment vertical="top"/>
    </xf>
    <xf numFmtId="2" fontId="40" fillId="0" borderId="0" xfId="0" applyNumberFormat="1" applyFont="1" applyAlignment="1">
      <alignment vertical="top" wrapText="1"/>
    </xf>
    <xf numFmtId="0" fontId="40" fillId="0" borderId="0" xfId="0" applyFont="1" applyAlignment="1">
      <alignment vertical="top"/>
    </xf>
    <xf numFmtId="0" fontId="42" fillId="24" borderId="30" xfId="0" applyFont="1" applyFill="1" applyBorder="1" applyAlignment="1">
      <alignment horizontal="center" vertical="top" wrapText="1"/>
    </xf>
    <xf numFmtId="0" fontId="40" fillId="25" borderId="25" xfId="0" quotePrefix="1" applyFont="1" applyFill="1" applyBorder="1" applyAlignment="1">
      <alignment horizontal="center" vertical="top"/>
    </xf>
    <xf numFmtId="0" fontId="40" fillId="0" borderId="12" xfId="0" applyFont="1" applyBorder="1" applyAlignment="1">
      <alignment horizontal="left" vertical="top"/>
    </xf>
    <xf numFmtId="0" fontId="40" fillId="25" borderId="0" xfId="0" applyFont="1" applyFill="1" applyAlignment="1">
      <alignment vertical="top"/>
    </xf>
    <xf numFmtId="0" fontId="39" fillId="0" borderId="31" xfId="0" applyFont="1" applyBorder="1" applyAlignment="1">
      <alignment horizontal="center" vertical="center"/>
    </xf>
    <xf numFmtId="0" fontId="39" fillId="0" borderId="31" xfId="0" applyFont="1" applyBorder="1" applyAlignment="1">
      <alignment horizontal="center" vertical="center" wrapText="1"/>
    </xf>
    <xf numFmtId="42" fontId="40" fillId="0" borderId="18" xfId="0" applyNumberFormat="1" applyFont="1" applyBorder="1" applyAlignment="1">
      <alignment vertical="center"/>
    </xf>
    <xf numFmtId="168" fontId="40" fillId="0" borderId="39" xfId="55" applyNumberFormat="1" applyFont="1" applyFill="1" applyBorder="1" applyAlignment="1">
      <alignment vertical="center"/>
    </xf>
    <xf numFmtId="167" fontId="39" fillId="0" borderId="36" xfId="0" applyNumberFormat="1" applyFont="1" applyBorder="1" applyAlignment="1">
      <alignment vertical="center"/>
    </xf>
    <xf numFmtId="44" fontId="39" fillId="0" borderId="0" xfId="54" applyFont="1" applyFill="1" applyBorder="1" applyAlignment="1" applyProtection="1">
      <alignment horizontal="center" vertical="center"/>
    </xf>
    <xf numFmtId="44" fontId="39" fillId="0" borderId="0" xfId="54" applyFont="1" applyFill="1" applyBorder="1" applyAlignment="1">
      <alignment vertical="center"/>
    </xf>
    <xf numFmtId="9" fontId="40" fillId="0" borderId="39" xfId="55" applyFont="1" applyFill="1" applyBorder="1" applyAlignment="1">
      <alignment vertical="center"/>
    </xf>
    <xf numFmtId="0" fontId="40" fillId="25" borderId="40" xfId="0" applyFont="1" applyFill="1" applyBorder="1" applyAlignment="1">
      <alignment horizontal="right" vertical="center"/>
    </xf>
    <xf numFmtId="1" fontId="39" fillId="25" borderId="34" xfId="0" applyNumberFormat="1" applyFont="1" applyFill="1" applyBorder="1" applyAlignment="1">
      <alignment horizontal="center" vertical="center"/>
    </xf>
    <xf numFmtId="9" fontId="39" fillId="25" borderId="34" xfId="0" applyNumberFormat="1" applyFont="1" applyFill="1" applyBorder="1" applyAlignment="1">
      <alignment horizontal="center" vertical="center"/>
    </xf>
    <xf numFmtId="0" fontId="39" fillId="25" borderId="34" xfId="0" applyFont="1" applyFill="1" applyBorder="1" applyAlignment="1">
      <alignment horizontal="center" vertical="center"/>
    </xf>
    <xf numFmtId="0" fontId="42" fillId="28" borderId="41" xfId="0" applyFont="1" applyFill="1" applyBorder="1" applyAlignment="1">
      <alignment horizontal="center" vertical="center" wrapText="1"/>
    </xf>
    <xf numFmtId="0" fontId="42" fillId="28" borderId="42" xfId="0" applyFont="1" applyFill="1" applyBorder="1" applyAlignment="1">
      <alignment horizontal="center" vertical="center" wrapText="1"/>
    </xf>
    <xf numFmtId="2" fontId="42" fillId="28" borderId="43" xfId="0" applyNumberFormat="1" applyFont="1" applyFill="1" applyBorder="1" applyAlignment="1">
      <alignment horizontal="center" vertical="center" wrapText="1"/>
    </xf>
    <xf numFmtId="1" fontId="42" fillId="28" borderId="43" xfId="0" applyNumberFormat="1" applyFont="1" applyFill="1" applyBorder="1" applyAlignment="1">
      <alignment horizontal="center" vertical="center" wrapText="1"/>
    </xf>
    <xf numFmtId="0" fontId="42" fillId="28" borderId="43" xfId="0" applyFont="1" applyFill="1" applyBorder="1" applyAlignment="1">
      <alignment horizontal="center" vertical="center" wrapText="1"/>
    </xf>
    <xf numFmtId="2" fontId="42" fillId="28" borderId="44" xfId="0" applyNumberFormat="1" applyFont="1" applyFill="1" applyBorder="1" applyAlignment="1">
      <alignment horizontal="center" vertical="center" wrapText="1"/>
    </xf>
    <xf numFmtId="2" fontId="39" fillId="25" borderId="34" xfId="0" applyNumberFormat="1" applyFont="1" applyFill="1" applyBorder="1" applyAlignment="1">
      <alignment horizontal="center" vertical="center"/>
    </xf>
    <xf numFmtId="44" fontId="39" fillId="0" borderId="0" xfId="54" applyFont="1" applyBorder="1" applyAlignment="1">
      <alignment horizontal="center" vertical="center"/>
    </xf>
    <xf numFmtId="0" fontId="40" fillId="0" borderId="12" xfId="0" applyFont="1" applyBorder="1" applyAlignment="1">
      <alignment horizontal="right" vertical="center"/>
    </xf>
    <xf numFmtId="42" fontId="40" fillId="26" borderId="18" xfId="0" applyNumberFormat="1" applyFont="1" applyFill="1" applyBorder="1" applyAlignment="1">
      <alignment vertical="center"/>
    </xf>
    <xf numFmtId="44" fontId="39" fillId="0" borderId="0" xfId="73" applyFont="1" applyFill="1" applyBorder="1" applyAlignment="1" applyProtection="1">
      <alignment horizontal="center" vertical="center"/>
    </xf>
    <xf numFmtId="44" fontId="42" fillId="28" borderId="43" xfId="73" applyFont="1" applyFill="1" applyBorder="1" applyAlignment="1" applyProtection="1">
      <alignment horizontal="center" vertical="center" wrapText="1"/>
    </xf>
    <xf numFmtId="44" fontId="39" fillId="25" borderId="34" xfId="73" applyFont="1" applyFill="1" applyBorder="1" applyAlignment="1" applyProtection="1">
      <alignment horizontal="center" vertical="center"/>
    </xf>
    <xf numFmtId="44" fontId="39" fillId="25" borderId="34" xfId="73" applyFont="1" applyFill="1" applyBorder="1" applyAlignment="1">
      <alignment vertical="center"/>
    </xf>
    <xf numFmtId="44" fontId="40" fillId="25" borderId="34" xfId="73" applyFont="1" applyFill="1" applyBorder="1" applyAlignment="1">
      <alignment vertical="center"/>
    </xf>
    <xf numFmtId="167" fontId="40" fillId="25" borderId="35" xfId="73" applyNumberFormat="1" applyFont="1" applyFill="1" applyBorder="1" applyAlignment="1">
      <alignment vertical="center"/>
    </xf>
    <xf numFmtId="44" fontId="39" fillId="25" borderId="34" xfId="73" applyFont="1" applyFill="1" applyBorder="1" applyAlignment="1">
      <alignment horizontal="center" vertical="center"/>
    </xf>
    <xf numFmtId="0" fontId="39" fillId="26" borderId="45" xfId="0" applyFont="1" applyFill="1" applyBorder="1" applyAlignment="1">
      <alignment horizontal="center" vertical="center"/>
    </xf>
    <xf numFmtId="0" fontId="39" fillId="26" borderId="40" xfId="0" applyFont="1" applyFill="1" applyBorder="1" applyAlignment="1">
      <alignment horizontal="center" vertical="center"/>
    </xf>
    <xf numFmtId="169" fontId="40" fillId="26" borderId="40" xfId="0" applyNumberFormat="1" applyFont="1" applyFill="1" applyBorder="1" applyAlignment="1">
      <alignment horizontal="center" vertical="center"/>
    </xf>
    <xf numFmtId="0" fontId="40" fillId="26" borderId="46" xfId="0" applyFont="1" applyFill="1" applyBorder="1" applyAlignment="1">
      <alignment horizontal="center" vertical="center"/>
    </xf>
    <xf numFmtId="1" fontId="39" fillId="26" borderId="40" xfId="0" applyNumberFormat="1" applyFont="1" applyFill="1" applyBorder="1" applyAlignment="1">
      <alignment horizontal="center" vertical="center"/>
    </xf>
    <xf numFmtId="9" fontId="39" fillId="26" borderId="40" xfId="0" applyNumberFormat="1" applyFont="1" applyFill="1" applyBorder="1" applyAlignment="1">
      <alignment horizontal="center" vertical="center"/>
    </xf>
    <xf numFmtId="44" fontId="39" fillId="26" borderId="40" xfId="73" applyFont="1" applyFill="1" applyBorder="1" applyAlignment="1" applyProtection="1">
      <alignment horizontal="center" vertical="center"/>
    </xf>
    <xf numFmtId="44" fontId="39" fillId="26" borderId="40" xfId="73" applyFont="1" applyFill="1" applyBorder="1" applyAlignment="1">
      <alignment vertical="center"/>
    </xf>
    <xf numFmtId="167" fontId="39" fillId="26" borderId="40" xfId="0" applyNumberFormat="1" applyFont="1" applyFill="1" applyBorder="1" applyAlignment="1">
      <alignment vertical="center"/>
    </xf>
    <xf numFmtId="167" fontId="39" fillId="26" borderId="47" xfId="0" applyNumberFormat="1" applyFont="1" applyFill="1" applyBorder="1" applyAlignment="1">
      <alignment vertical="center"/>
    </xf>
    <xf numFmtId="167" fontId="40" fillId="26" borderId="39" xfId="0" applyNumberFormat="1" applyFont="1" applyFill="1" applyBorder="1" applyAlignment="1">
      <alignment vertical="center"/>
    </xf>
    <xf numFmtId="44" fontId="39" fillId="0" borderId="0" xfId="73" applyFont="1" applyBorder="1" applyAlignment="1">
      <alignment horizontal="center" vertical="center"/>
    </xf>
    <xf numFmtId="44" fontId="39" fillId="0" borderId="0" xfId="73" applyFont="1" applyFill="1" applyBorder="1" applyAlignment="1">
      <alignment vertical="center"/>
    </xf>
    <xf numFmtId="1" fontId="39" fillId="0" borderId="0" xfId="0" applyNumberFormat="1" applyFont="1" applyAlignment="1">
      <alignment horizontal="center" vertical="center"/>
    </xf>
    <xf numFmtId="9" fontId="39" fillId="0" borderId="0" xfId="0" applyNumberFormat="1" applyFont="1" applyAlignment="1">
      <alignment horizontal="center" vertical="center"/>
    </xf>
    <xf numFmtId="167" fontId="39" fillId="0" borderId="0" xfId="0" applyNumberFormat="1" applyFont="1" applyAlignment="1">
      <alignment vertical="center"/>
    </xf>
    <xf numFmtId="0" fontId="39" fillId="0" borderId="0" xfId="0" applyFont="1" applyAlignment="1">
      <alignment horizontal="center" vertical="center" wrapText="1"/>
    </xf>
    <xf numFmtId="0" fontId="46" fillId="0" borderId="0" xfId="58" applyFont="1" applyAlignment="1">
      <alignment vertical="center" wrapText="1"/>
    </xf>
    <xf numFmtId="1" fontId="46" fillId="0" borderId="0" xfId="58" applyNumberFormat="1" applyFont="1" applyAlignment="1">
      <alignment horizontal="center" vertical="center"/>
    </xf>
    <xf numFmtId="0" fontId="61" fillId="33" borderId="0" xfId="58" applyFont="1" applyFill="1" applyAlignment="1">
      <alignment horizontal="center" vertical="center" wrapText="1"/>
    </xf>
    <xf numFmtId="0" fontId="39" fillId="0" borderId="0" xfId="81" applyFont="1" applyAlignment="1">
      <alignment wrapText="1"/>
    </xf>
    <xf numFmtId="0" fontId="45" fillId="0" borderId="0" xfId="58" applyFont="1" applyAlignment="1">
      <alignment vertical="center" wrapText="1"/>
    </xf>
    <xf numFmtId="0" fontId="39" fillId="26" borderId="48" xfId="0" applyFont="1" applyFill="1" applyBorder="1" applyAlignment="1">
      <alignment horizontal="center" vertical="center"/>
    </xf>
    <xf numFmtId="0" fontId="39" fillId="26" borderId="22" xfId="0" applyFont="1" applyFill="1" applyBorder="1" applyAlignment="1">
      <alignment horizontal="center" vertical="center"/>
    </xf>
    <xf numFmtId="169" fontId="40" fillId="26" borderId="22" xfId="0" applyNumberFormat="1" applyFont="1" applyFill="1" applyBorder="1" applyAlignment="1">
      <alignment horizontal="center" vertical="center"/>
    </xf>
    <xf numFmtId="0" fontId="40" fillId="26" borderId="49" xfId="0" applyFont="1" applyFill="1" applyBorder="1" applyAlignment="1">
      <alignment horizontal="center" vertical="center"/>
    </xf>
    <xf numFmtId="1" fontId="39" fillId="26" borderId="22" xfId="0" applyNumberFormat="1" applyFont="1" applyFill="1" applyBorder="1" applyAlignment="1">
      <alignment horizontal="center" vertical="center"/>
    </xf>
    <xf numFmtId="9" fontId="39" fillId="26" borderId="22" xfId="0" applyNumberFormat="1" applyFont="1" applyFill="1" applyBorder="1" applyAlignment="1">
      <alignment horizontal="center" vertical="center"/>
    </xf>
    <xf numFmtId="44" fontId="39" fillId="26" borderId="22" xfId="73" applyFont="1" applyFill="1" applyBorder="1" applyAlignment="1" applyProtection="1">
      <alignment horizontal="center" vertical="center"/>
    </xf>
    <xf numFmtId="44" fontId="39" fillId="26" borderId="22" xfId="73" applyFont="1" applyFill="1" applyBorder="1" applyAlignment="1">
      <alignment vertical="center"/>
    </xf>
    <xf numFmtId="167" fontId="39" fillId="26" borderId="22" xfId="0" applyNumberFormat="1" applyFont="1" applyFill="1" applyBorder="1" applyAlignment="1">
      <alignment vertical="center"/>
    </xf>
    <xf numFmtId="167" fontId="39" fillId="26" borderId="50" xfId="0" applyNumberFormat="1" applyFont="1" applyFill="1" applyBorder="1" applyAlignment="1">
      <alignment vertical="center"/>
    </xf>
    <xf numFmtId="0" fontId="39" fillId="0" borderId="48" xfId="0" applyFont="1" applyBorder="1" applyAlignment="1">
      <alignment horizontal="center" vertical="center" wrapText="1"/>
    </xf>
    <xf numFmtId="0" fontId="39" fillId="0" borderId="22" xfId="0" applyFont="1" applyBorder="1" applyAlignment="1">
      <alignment horizontal="center" vertical="center" wrapText="1"/>
    </xf>
    <xf numFmtId="1" fontId="39" fillId="25" borderId="40" xfId="0" applyNumberFormat="1" applyFont="1" applyFill="1" applyBorder="1" applyAlignment="1">
      <alignment horizontal="center" vertical="center"/>
    </xf>
    <xf numFmtId="9" fontId="39" fillId="25" borderId="40" xfId="0" applyNumberFormat="1" applyFont="1" applyFill="1" applyBorder="1" applyAlignment="1">
      <alignment horizontal="center" vertical="center"/>
    </xf>
    <xf numFmtId="0" fontId="39" fillId="25" borderId="40" xfId="0" applyFont="1" applyFill="1" applyBorder="1" applyAlignment="1">
      <alignment horizontal="center" vertical="center"/>
    </xf>
    <xf numFmtId="2" fontId="39" fillId="25" borderId="40" xfId="0" applyNumberFormat="1" applyFont="1" applyFill="1" applyBorder="1" applyAlignment="1">
      <alignment horizontal="center" vertical="center"/>
    </xf>
    <xf numFmtId="44" fontId="39" fillId="25" borderId="40" xfId="73" applyFont="1" applyFill="1" applyBorder="1" applyAlignment="1">
      <alignment horizontal="center" vertical="center"/>
    </xf>
    <xf numFmtId="44" fontId="39" fillId="25" borderId="40" xfId="73" applyFont="1" applyFill="1" applyBorder="1" applyAlignment="1" applyProtection="1">
      <alignment horizontal="center" vertical="center"/>
    </xf>
    <xf numFmtId="44" fontId="39" fillId="25" borderId="40" xfId="73" applyFont="1" applyFill="1" applyBorder="1" applyAlignment="1">
      <alignment vertical="center"/>
    </xf>
    <xf numFmtId="44" fontId="40" fillId="25" borderId="40" xfId="73" applyFont="1" applyFill="1" applyBorder="1" applyAlignment="1">
      <alignment vertical="center"/>
    </xf>
    <xf numFmtId="167" fontId="40" fillId="25" borderId="47" xfId="73" applyNumberFormat="1" applyFont="1" applyFill="1" applyBorder="1" applyAlignment="1">
      <alignment vertical="center"/>
    </xf>
    <xf numFmtId="170" fontId="39" fillId="0" borderId="0" xfId="0" applyNumberFormat="1" applyFont="1" applyAlignment="1">
      <alignment horizontal="center" vertical="center"/>
    </xf>
    <xf numFmtId="0" fontId="40" fillId="0" borderId="11" xfId="0" applyFont="1" applyBorder="1" applyAlignment="1">
      <alignment horizontal="left" vertical="center"/>
    </xf>
    <xf numFmtId="0" fontId="40" fillId="0" borderId="12" xfId="0" applyFont="1" applyBorder="1" applyAlignment="1">
      <alignment horizontal="left" vertical="center"/>
    </xf>
    <xf numFmtId="0" fontId="40" fillId="0" borderId="18" xfId="0" applyFont="1" applyBorder="1" applyAlignment="1">
      <alignment horizontal="left" vertical="center"/>
    </xf>
    <xf numFmtId="2" fontId="42" fillId="26" borderId="33" xfId="0" applyNumberFormat="1" applyFont="1" applyFill="1" applyBorder="1" applyAlignment="1">
      <alignment horizontal="center" vertical="center"/>
    </xf>
    <xf numFmtId="2" fontId="42" fillId="26" borderId="34" xfId="0" applyNumberFormat="1" applyFont="1" applyFill="1" applyBorder="1" applyAlignment="1">
      <alignment horizontal="center" vertical="center"/>
    </xf>
    <xf numFmtId="2" fontId="42" fillId="26" borderId="31" xfId="0" applyNumberFormat="1" applyFont="1" applyFill="1" applyBorder="1" applyAlignment="1">
      <alignment horizontal="center" vertical="center"/>
    </xf>
    <xf numFmtId="2" fontId="42" fillId="26" borderId="0" xfId="0" applyNumberFormat="1" applyFont="1" applyFill="1" applyAlignment="1">
      <alignment horizontal="center" vertical="center"/>
    </xf>
    <xf numFmtId="2" fontId="42" fillId="26" borderId="38" xfId="0" applyNumberFormat="1" applyFont="1" applyFill="1" applyBorder="1" applyAlignment="1">
      <alignment horizontal="center" vertical="center"/>
    </xf>
    <xf numFmtId="2" fontId="42" fillId="26" borderId="32" xfId="0" applyNumberFormat="1" applyFont="1" applyFill="1" applyBorder="1" applyAlignment="1">
      <alignment horizontal="center" vertical="center"/>
    </xf>
    <xf numFmtId="0" fontId="58" fillId="27" borderId="33" xfId="0" applyFont="1" applyFill="1" applyBorder="1" applyAlignment="1">
      <alignment horizontal="center" vertical="center" wrapText="1"/>
    </xf>
    <xf numFmtId="0" fontId="58" fillId="27" borderId="34" xfId="0" applyFont="1" applyFill="1" applyBorder="1" applyAlignment="1">
      <alignment horizontal="center" vertical="center" wrapText="1"/>
    </xf>
    <xf numFmtId="0" fontId="58" fillId="27" borderId="35" xfId="0" applyFont="1" applyFill="1" applyBorder="1" applyAlignment="1">
      <alignment horizontal="center" vertical="center" wrapText="1"/>
    </xf>
    <xf numFmtId="0" fontId="58" fillId="27" borderId="38" xfId="0" applyFont="1" applyFill="1" applyBorder="1" applyAlignment="1">
      <alignment horizontal="center" vertical="center" wrapText="1"/>
    </xf>
    <xf numFmtId="0" fontId="58" fillId="27" borderId="32" xfId="0" applyFont="1" applyFill="1" applyBorder="1" applyAlignment="1">
      <alignment horizontal="center" vertical="center" wrapText="1"/>
    </xf>
    <xf numFmtId="0" fontId="58" fillId="27" borderId="37" xfId="0" applyFont="1" applyFill="1" applyBorder="1" applyAlignment="1">
      <alignment horizontal="center" vertical="center" wrapText="1"/>
    </xf>
    <xf numFmtId="0" fontId="58" fillId="26" borderId="33" xfId="0" applyFont="1" applyFill="1" applyBorder="1" applyAlignment="1">
      <alignment horizontal="center" vertical="center" wrapText="1"/>
    </xf>
    <xf numFmtId="0" fontId="58" fillId="26" borderId="34" xfId="0" applyFont="1" applyFill="1" applyBorder="1" applyAlignment="1">
      <alignment horizontal="center" vertical="center" wrapText="1"/>
    </xf>
    <xf numFmtId="0" fontId="58" fillId="26" borderId="35" xfId="0" applyFont="1" applyFill="1" applyBorder="1" applyAlignment="1">
      <alignment horizontal="center" vertical="center" wrapText="1"/>
    </xf>
    <xf numFmtId="0" fontId="58" fillId="26" borderId="31" xfId="0" applyFont="1" applyFill="1" applyBorder="1" applyAlignment="1">
      <alignment horizontal="center" vertical="center" wrapText="1"/>
    </xf>
    <xf numFmtId="0" fontId="58" fillId="26" borderId="0" xfId="0" applyFont="1" applyFill="1" applyAlignment="1">
      <alignment horizontal="center" vertical="center" wrapText="1"/>
    </xf>
    <xf numFmtId="0" fontId="58" fillId="26" borderId="36" xfId="0" applyFont="1" applyFill="1" applyBorder="1" applyAlignment="1">
      <alignment horizontal="center" vertical="center" wrapText="1"/>
    </xf>
    <xf numFmtId="0" fontId="58" fillId="26" borderId="38" xfId="0" applyFont="1" applyFill="1" applyBorder="1" applyAlignment="1">
      <alignment horizontal="center" vertical="center" wrapText="1"/>
    </xf>
    <xf numFmtId="0" fontId="58" fillId="26" borderId="32" xfId="0" applyFont="1" applyFill="1" applyBorder="1" applyAlignment="1">
      <alignment horizontal="center" vertical="center" wrapText="1"/>
    </xf>
    <xf numFmtId="0" fontId="58" fillId="26" borderId="37" xfId="0" applyFont="1" applyFill="1" applyBorder="1" applyAlignment="1">
      <alignment horizontal="center" vertical="center" wrapText="1"/>
    </xf>
    <xf numFmtId="0" fontId="40" fillId="0" borderId="11" xfId="0" applyFont="1" applyBorder="1" applyAlignment="1">
      <alignment horizontal="left" vertical="center" wrapText="1"/>
    </xf>
    <xf numFmtId="0" fontId="40" fillId="0" borderId="12" xfId="0" applyFont="1" applyBorder="1" applyAlignment="1">
      <alignment horizontal="left" vertical="center" wrapText="1"/>
    </xf>
    <xf numFmtId="0" fontId="40" fillId="0" borderId="18" xfId="0" applyFont="1" applyBorder="1" applyAlignment="1">
      <alignment horizontal="left" vertical="center" wrapText="1"/>
    </xf>
    <xf numFmtId="0" fontId="40" fillId="0" borderId="38" xfId="0" applyFont="1" applyBorder="1" applyAlignment="1">
      <alignment horizontal="left" vertical="center" wrapText="1"/>
    </xf>
    <xf numFmtId="0" fontId="40" fillId="0" borderId="32" xfId="0" applyFont="1" applyBorder="1" applyAlignment="1">
      <alignment horizontal="left" vertical="center" wrapText="1"/>
    </xf>
    <xf numFmtId="0" fontId="40" fillId="0" borderId="37" xfId="0" applyFont="1" applyBorder="1" applyAlignment="1">
      <alignment horizontal="left" vertical="center" wrapText="1"/>
    </xf>
    <xf numFmtId="0" fontId="39" fillId="0" borderId="19" xfId="0" applyFont="1" applyBorder="1" applyAlignment="1">
      <alignment horizontal="center" vertical="top"/>
    </xf>
  </cellXfs>
  <cellStyles count="8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1 2" xfId="67" xr:uid="{00000000-0005-0000-0000-000007000000}"/>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2 2" xfId="68" xr:uid="{00000000-0005-0000-0000-00000F000000}"/>
    <cellStyle name="60% - Accent3" xfId="15" builtinId="40" customBuiltin="1"/>
    <cellStyle name="60% - Accent4" xfId="16" builtinId="44" customBuiltin="1"/>
    <cellStyle name="60% - Accent4 2" xfId="69" xr:uid="{00000000-0005-0000-0000-000012000000}"/>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6" xr:uid="{00000000-0005-0000-0000-00001E000000}"/>
    <cellStyle name="Comma 2 2" xfId="48" xr:uid="{00000000-0005-0000-0000-00001F000000}"/>
    <cellStyle name="Comma 2 3" xfId="83" xr:uid="{1AD91AC6-A901-4CE0-A2D5-CF2BA01F81CD}"/>
    <cellStyle name="Comma 3" xfId="82" xr:uid="{4D7549F8-C980-447E-BFF0-83730E0BF667}"/>
    <cellStyle name="Currency" xfId="54" builtinId="4"/>
    <cellStyle name="Currency 2" xfId="50" xr:uid="{00000000-0005-0000-0000-000021000000}"/>
    <cellStyle name="Currency 3" xfId="73" xr:uid="{00000000-0005-0000-0000-000022000000}"/>
    <cellStyle name="Currency 4" xfId="64" xr:uid="{00000000-0005-0000-0000-000023000000}"/>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2" xfId="75" xr:uid="{00000000-0005-0000-0000-00002B000000}"/>
    <cellStyle name="Input" xfId="34" builtinId="20" customBuiltin="1"/>
    <cellStyle name="Linked Cell" xfId="35" builtinId="24" customBuiltin="1"/>
    <cellStyle name="Neutral" xfId="36" builtinId="28" customBuiltin="1"/>
    <cellStyle name="Normal" xfId="0" builtinId="0"/>
    <cellStyle name="Normal 10" xfId="62" xr:uid="{00000000-0005-0000-0000-000030000000}"/>
    <cellStyle name="Normal 11" xfId="63" xr:uid="{00000000-0005-0000-0000-000031000000}"/>
    <cellStyle name="Normal 12" xfId="66" xr:uid="{00000000-0005-0000-0000-000032000000}"/>
    <cellStyle name="Normal 13" xfId="70" xr:uid="{00000000-0005-0000-0000-000033000000}"/>
    <cellStyle name="Normal 14" xfId="71" xr:uid="{00000000-0005-0000-0000-000034000000}"/>
    <cellStyle name="Normal 15" xfId="76" xr:uid="{00000000-0005-0000-0000-000035000000}"/>
    <cellStyle name="Normal 16" xfId="77" xr:uid="{DC73F034-67DB-44AC-B7B0-F1E7BFC11890}"/>
    <cellStyle name="Normal 17" xfId="79" xr:uid="{4D05C5F8-9209-4967-A2BB-A3BE01E6D18E}"/>
    <cellStyle name="Normal 18" xfId="80" xr:uid="{9EF21E05-0FA2-4121-B343-AF926F2F5C96}"/>
    <cellStyle name="Normal 19" xfId="84" xr:uid="{3A4C63EF-FB07-4DA3-BE40-93681C6ABDFF}"/>
    <cellStyle name="Normal 2" xfId="44" xr:uid="{00000000-0005-0000-0000-000036000000}"/>
    <cellStyle name="Normal 2 2" xfId="47" xr:uid="{00000000-0005-0000-0000-000037000000}"/>
    <cellStyle name="Normal 2 3" xfId="45" xr:uid="{00000000-0005-0000-0000-000038000000}"/>
    <cellStyle name="Normal 2 3 2" xfId="52" xr:uid="{00000000-0005-0000-0000-000039000000}"/>
    <cellStyle name="Normal 2 4" xfId="81" xr:uid="{79AA3ACE-975E-45AA-B41F-5F4E45FFD0C1}"/>
    <cellStyle name="Normal 20" xfId="85" xr:uid="{572C9CCC-B1F9-47E7-8F18-75EF06AB242A}"/>
    <cellStyle name="Normal 3" xfId="37" xr:uid="{00000000-0005-0000-0000-00003A000000}"/>
    <cellStyle name="Normal 4" xfId="43" xr:uid="{00000000-0005-0000-0000-00003B000000}"/>
    <cellStyle name="Normal 4 2" xfId="53" xr:uid="{00000000-0005-0000-0000-00003C000000}"/>
    <cellStyle name="Normal 4 3" xfId="51" xr:uid="{00000000-0005-0000-0000-00003D000000}"/>
    <cellStyle name="Normal 5" xfId="49" xr:uid="{00000000-0005-0000-0000-00003E000000}"/>
    <cellStyle name="Normal 6" xfId="56" xr:uid="{00000000-0005-0000-0000-00003F000000}"/>
    <cellStyle name="Normal 7" xfId="57" xr:uid="{00000000-0005-0000-0000-000040000000}"/>
    <cellStyle name="Normal 8" xfId="58" xr:uid="{00000000-0005-0000-0000-000041000000}"/>
    <cellStyle name="Normal 9" xfId="59" xr:uid="{00000000-0005-0000-0000-000042000000}"/>
    <cellStyle name="Note" xfId="38" builtinId="10" customBuiltin="1"/>
    <cellStyle name="Note 10 2 10 2 2 4 2 2 2 2 2 2 2 2 2 2" xfId="65" xr:uid="{00000000-0005-0000-0000-000044000000}"/>
    <cellStyle name="Note 2" xfId="61" xr:uid="{00000000-0005-0000-0000-000045000000}"/>
    <cellStyle name="Note 2 24" xfId="72" xr:uid="{00000000-0005-0000-0000-000046000000}"/>
    <cellStyle name="Output" xfId="39" builtinId="21" customBuiltin="1"/>
    <cellStyle name="Output 2" xfId="74" xr:uid="{00000000-0005-0000-0000-000048000000}"/>
    <cellStyle name="Percent" xfId="55" builtinId="5"/>
    <cellStyle name="Percent 2" xfId="78" xr:uid="{C85AF3C7-BFED-43A4-874B-F4808EADF112}"/>
    <cellStyle name="Style 1" xfId="60" xr:uid="{00000000-0005-0000-0000-00004A000000}"/>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colors>
    <mruColors>
      <color rgb="FFF3F9BF"/>
      <color rgb="FFFFFF66"/>
      <color rgb="FFF4910C"/>
      <color rgb="FFEDB951"/>
      <color rgb="FFF5C337"/>
      <color rgb="FFFF9966"/>
      <color rgb="FFE9ED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70261</xdr:colOff>
      <xdr:row>0</xdr:row>
      <xdr:rowOff>123637</xdr:rowOff>
    </xdr:from>
    <xdr:to>
      <xdr:col>1</xdr:col>
      <xdr:colOff>971456</xdr:colOff>
      <xdr:row>3</xdr:row>
      <xdr:rowOff>85952</xdr:rowOff>
    </xdr:to>
    <xdr:pic>
      <xdr:nvPicPr>
        <xdr:cNvPr id="2" name="Picture 1">
          <a:extLst>
            <a:ext uri="{FF2B5EF4-FFF2-40B4-BE49-F238E27FC236}">
              <a16:creationId xmlns:a16="http://schemas.microsoft.com/office/drawing/2014/main" id="{A367C8EE-348E-48AF-9413-4733B516CC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261" y="123637"/>
          <a:ext cx="1537866" cy="50373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71FC3-3C1C-464D-90E6-6EDF23B4B114}">
  <sheetPr>
    <tabColor rgb="FF92D050"/>
  </sheetPr>
  <dimension ref="A1:AU148"/>
  <sheetViews>
    <sheetView tabSelected="1" view="pageBreakPreview" zoomScale="55" zoomScaleNormal="85" zoomScaleSheetLayoutView="55" workbookViewId="0">
      <pane ySplit="5" topLeftCell="A6" activePane="bottomLeft" state="frozen"/>
      <selection pane="bottomLeft" activeCell="C1" sqref="C1:M2"/>
    </sheetView>
  </sheetViews>
  <sheetFormatPr defaultRowHeight="15" x14ac:dyDescent="0.2"/>
  <cols>
    <col min="1" max="1" width="7.44140625" customWidth="1"/>
    <col min="2" max="2" width="12.33203125" customWidth="1"/>
    <col min="3" max="3" width="11.77734375" customWidth="1"/>
    <col min="4" max="4" width="68.77734375" customWidth="1"/>
    <col min="5" max="8" width="8.77734375" customWidth="1"/>
    <col min="9" max="13" width="11.77734375" customWidth="1"/>
    <col min="14" max="14" width="13.5546875" customWidth="1"/>
    <col min="15" max="15" width="13.21875" customWidth="1"/>
    <col min="16" max="16" width="14.77734375" customWidth="1"/>
    <col min="17" max="17" width="2.109375" customWidth="1"/>
  </cols>
  <sheetData>
    <row r="1" spans="1:47" ht="14.45" customHeight="1" x14ac:dyDescent="0.2">
      <c r="A1" s="197"/>
      <c r="B1" s="198"/>
      <c r="C1" s="203" t="s">
        <v>264</v>
      </c>
      <c r="D1" s="204"/>
      <c r="E1" s="204"/>
      <c r="F1" s="204"/>
      <c r="G1" s="204"/>
      <c r="H1" s="204"/>
      <c r="I1" s="204"/>
      <c r="J1" s="204"/>
      <c r="K1" s="204"/>
      <c r="L1" s="204"/>
      <c r="M1" s="205"/>
      <c r="N1" s="209" t="s">
        <v>271</v>
      </c>
      <c r="O1" s="210"/>
      <c r="P1" s="211"/>
    </row>
    <row r="2" spans="1:47" ht="14.45" customHeight="1" thickBot="1" x14ac:dyDescent="0.25">
      <c r="A2" s="199"/>
      <c r="B2" s="200"/>
      <c r="C2" s="206"/>
      <c r="D2" s="207"/>
      <c r="E2" s="207"/>
      <c r="F2" s="207"/>
      <c r="G2" s="207"/>
      <c r="H2" s="207"/>
      <c r="I2" s="207"/>
      <c r="J2" s="207"/>
      <c r="K2" s="207"/>
      <c r="L2" s="207"/>
      <c r="M2" s="208"/>
      <c r="N2" s="212"/>
      <c r="O2" s="213"/>
      <c r="P2" s="214"/>
    </row>
    <row r="3" spans="1:47" ht="14.45" customHeight="1" x14ac:dyDescent="0.2">
      <c r="A3" s="199"/>
      <c r="B3" s="200"/>
      <c r="C3" s="203" t="s">
        <v>263</v>
      </c>
      <c r="D3" s="204"/>
      <c r="E3" s="204"/>
      <c r="F3" s="204"/>
      <c r="G3" s="204"/>
      <c r="H3" s="204"/>
      <c r="I3" s="204"/>
      <c r="J3" s="204"/>
      <c r="K3" s="204"/>
      <c r="L3" s="204"/>
      <c r="M3" s="204"/>
      <c r="N3" s="212"/>
      <c r="O3" s="213"/>
      <c r="P3" s="214"/>
    </row>
    <row r="4" spans="1:47" ht="14.45" customHeight="1" thickBot="1" x14ac:dyDescent="0.25">
      <c r="A4" s="201"/>
      <c r="B4" s="202"/>
      <c r="C4" s="206"/>
      <c r="D4" s="207"/>
      <c r="E4" s="207"/>
      <c r="F4" s="207"/>
      <c r="G4" s="207"/>
      <c r="H4" s="207"/>
      <c r="I4" s="207"/>
      <c r="J4" s="207"/>
      <c r="K4" s="207"/>
      <c r="L4" s="207"/>
      <c r="M4" s="207"/>
      <c r="N4" s="215"/>
      <c r="O4" s="216"/>
      <c r="P4" s="217"/>
    </row>
    <row r="5" spans="1:47" ht="48" thickBot="1" x14ac:dyDescent="0.25">
      <c r="A5" s="133" t="s">
        <v>0</v>
      </c>
      <c r="B5" s="134" t="s">
        <v>1</v>
      </c>
      <c r="C5" s="134" t="s">
        <v>2</v>
      </c>
      <c r="D5" s="135" t="s">
        <v>3</v>
      </c>
      <c r="E5" s="136" t="s">
        <v>4</v>
      </c>
      <c r="F5" s="135" t="s">
        <v>5</v>
      </c>
      <c r="G5" s="136" t="s">
        <v>6</v>
      </c>
      <c r="H5" s="137" t="s">
        <v>7</v>
      </c>
      <c r="I5" s="137" t="s">
        <v>111</v>
      </c>
      <c r="J5" s="137" t="s">
        <v>114</v>
      </c>
      <c r="K5" s="137" t="s">
        <v>112</v>
      </c>
      <c r="L5" s="144" t="s">
        <v>113</v>
      </c>
      <c r="M5" s="144" t="s">
        <v>115</v>
      </c>
      <c r="N5" s="144" t="s">
        <v>116</v>
      </c>
      <c r="O5" s="138" t="s">
        <v>117</v>
      </c>
      <c r="P5" s="138" t="s">
        <v>8</v>
      </c>
    </row>
    <row r="6" spans="1:47" ht="15.75" x14ac:dyDescent="0.2">
      <c r="A6" s="150"/>
      <c r="B6" s="151"/>
      <c r="C6" s="152">
        <v>10000</v>
      </c>
      <c r="D6" s="153" t="s">
        <v>9</v>
      </c>
      <c r="E6" s="154"/>
      <c r="F6" s="155"/>
      <c r="G6" s="154"/>
      <c r="H6" s="151"/>
      <c r="I6" s="151"/>
      <c r="J6" s="151"/>
      <c r="K6" s="151"/>
      <c r="L6" s="156"/>
      <c r="M6" s="156"/>
      <c r="N6" s="157"/>
      <c r="O6" s="158"/>
      <c r="P6" s="159"/>
    </row>
    <row r="7" spans="1:47" s="120" customFormat="1" ht="20.100000000000001" customHeight="1" x14ac:dyDescent="0.2">
      <c r="A7" s="122">
        <f>IF(H7&lt;&gt;"",1+MAX(A1:A6),"")</f>
        <v>1</v>
      </c>
      <c r="B7" s="6"/>
      <c r="C7" s="6"/>
      <c r="D7" s="42" t="s">
        <v>10</v>
      </c>
      <c r="E7" s="163">
        <v>1</v>
      </c>
      <c r="F7" s="164">
        <v>0</v>
      </c>
      <c r="G7" s="163">
        <f t="shared" ref="G7:G12" si="0">E7+(E7*F7)</f>
        <v>1</v>
      </c>
      <c r="H7" s="6" t="s">
        <v>11</v>
      </c>
      <c r="I7" s="3">
        <v>0</v>
      </c>
      <c r="J7" s="3">
        <f t="shared" ref="J7:J12" si="1">I7*G7</f>
        <v>0</v>
      </c>
      <c r="K7" s="140">
        <v>0</v>
      </c>
      <c r="L7" s="126">
        <f t="shared" ref="L7:L12" si="2">K7*J7</f>
        <v>0</v>
      </c>
      <c r="M7" s="126">
        <v>0</v>
      </c>
      <c r="N7" s="127">
        <f t="shared" ref="N7:N12" si="3">M7*G7</f>
        <v>0</v>
      </c>
      <c r="O7" s="165">
        <f t="shared" ref="O7:O12" si="4">L7+N7</f>
        <v>0</v>
      </c>
      <c r="P7" s="125"/>
      <c r="Q7" s="64"/>
      <c r="R7"/>
      <c r="S7"/>
      <c r="T7"/>
      <c r="U7"/>
      <c r="V7"/>
      <c r="W7"/>
      <c r="X7"/>
      <c r="Y7"/>
      <c r="Z7"/>
      <c r="AA7"/>
      <c r="AB7"/>
      <c r="AC7"/>
      <c r="AD7"/>
      <c r="AE7"/>
      <c r="AF7"/>
      <c r="AG7"/>
      <c r="AH7"/>
      <c r="AI7"/>
      <c r="AJ7"/>
      <c r="AK7"/>
      <c r="AL7"/>
      <c r="AM7"/>
      <c r="AN7"/>
      <c r="AO7"/>
      <c r="AP7"/>
      <c r="AQ7"/>
      <c r="AR7"/>
      <c r="AS7"/>
      <c r="AT7"/>
      <c r="AU7"/>
    </row>
    <row r="8" spans="1:47" s="120" customFormat="1" ht="20.100000000000001" customHeight="1" x14ac:dyDescent="0.2">
      <c r="A8" s="122">
        <f t="shared" ref="A8:A16" si="5">IF(H8&lt;&gt;"",1+MAX(A2:A7),"")</f>
        <v>2</v>
      </c>
      <c r="B8" s="6"/>
      <c r="C8" s="6"/>
      <c r="D8" s="42" t="s">
        <v>12</v>
      </c>
      <c r="E8" s="163">
        <v>1</v>
      </c>
      <c r="F8" s="164">
        <v>0</v>
      </c>
      <c r="G8" s="163">
        <f t="shared" si="0"/>
        <v>1</v>
      </c>
      <c r="H8" s="6" t="s">
        <v>11</v>
      </c>
      <c r="I8" s="3">
        <v>0</v>
      </c>
      <c r="J8" s="3">
        <f t="shared" si="1"/>
        <v>0</v>
      </c>
      <c r="K8" s="140">
        <v>0</v>
      </c>
      <c r="L8" s="126">
        <f t="shared" si="2"/>
        <v>0</v>
      </c>
      <c r="M8" s="126">
        <v>0</v>
      </c>
      <c r="N8" s="127">
        <f t="shared" si="3"/>
        <v>0</v>
      </c>
      <c r="O8" s="165">
        <f t="shared" si="4"/>
        <v>0</v>
      </c>
      <c r="P8" s="125"/>
      <c r="Q8" s="64"/>
      <c r="R8"/>
      <c r="S8"/>
      <c r="T8"/>
      <c r="U8"/>
      <c r="V8"/>
      <c r="W8"/>
      <c r="X8"/>
      <c r="Y8"/>
      <c r="Z8"/>
      <c r="AA8"/>
      <c r="AB8"/>
      <c r="AC8"/>
      <c r="AD8"/>
      <c r="AE8"/>
      <c r="AF8"/>
      <c r="AG8"/>
      <c r="AH8"/>
      <c r="AI8"/>
      <c r="AJ8"/>
      <c r="AK8"/>
      <c r="AL8"/>
      <c r="AM8"/>
      <c r="AN8"/>
      <c r="AO8"/>
      <c r="AP8"/>
      <c r="AQ8"/>
      <c r="AR8"/>
      <c r="AS8"/>
      <c r="AT8"/>
      <c r="AU8"/>
    </row>
    <row r="9" spans="1:47" s="120" customFormat="1" ht="20.100000000000001" customHeight="1" x14ac:dyDescent="0.2">
      <c r="A9" s="122">
        <f t="shared" si="5"/>
        <v>3</v>
      </c>
      <c r="B9" s="6"/>
      <c r="C9" s="6"/>
      <c r="D9" s="42" t="s">
        <v>13</v>
      </c>
      <c r="E9" s="163">
        <v>1</v>
      </c>
      <c r="F9" s="164">
        <v>0</v>
      </c>
      <c r="G9" s="163">
        <f t="shared" si="0"/>
        <v>1</v>
      </c>
      <c r="H9" s="6" t="s">
        <v>11</v>
      </c>
      <c r="I9" s="3">
        <v>0</v>
      </c>
      <c r="J9" s="3">
        <f t="shared" si="1"/>
        <v>0</v>
      </c>
      <c r="K9" s="140">
        <v>0</v>
      </c>
      <c r="L9" s="126">
        <f t="shared" si="2"/>
        <v>0</v>
      </c>
      <c r="M9" s="126">
        <v>0</v>
      </c>
      <c r="N9" s="127">
        <f t="shared" si="3"/>
        <v>0</v>
      </c>
      <c r="O9" s="165">
        <f t="shared" si="4"/>
        <v>0</v>
      </c>
      <c r="P9" s="125"/>
      <c r="Q9" s="64"/>
      <c r="R9"/>
      <c r="S9"/>
      <c r="T9"/>
      <c r="U9"/>
      <c r="V9"/>
      <c r="W9"/>
      <c r="X9"/>
      <c r="Y9"/>
      <c r="Z9"/>
      <c r="AA9"/>
      <c r="AB9"/>
      <c r="AC9"/>
      <c r="AD9"/>
      <c r="AE9"/>
      <c r="AF9"/>
      <c r="AG9"/>
      <c r="AH9"/>
      <c r="AI9"/>
      <c r="AJ9"/>
      <c r="AK9"/>
      <c r="AL9"/>
      <c r="AM9"/>
      <c r="AN9"/>
      <c r="AO9"/>
      <c r="AP9"/>
      <c r="AQ9"/>
      <c r="AR9"/>
      <c r="AS9"/>
      <c r="AT9"/>
      <c r="AU9"/>
    </row>
    <row r="10" spans="1:47" s="120" customFormat="1" ht="20.100000000000001" customHeight="1" x14ac:dyDescent="0.2">
      <c r="A10" s="122">
        <f t="shared" si="5"/>
        <v>4</v>
      </c>
      <c r="B10" s="6"/>
      <c r="C10" s="6"/>
      <c r="D10" s="42" t="s">
        <v>14</v>
      </c>
      <c r="E10" s="163">
        <v>1</v>
      </c>
      <c r="F10" s="164">
        <v>0</v>
      </c>
      <c r="G10" s="163">
        <f t="shared" si="0"/>
        <v>1</v>
      </c>
      <c r="H10" s="6" t="s">
        <v>11</v>
      </c>
      <c r="I10" s="3">
        <v>0</v>
      </c>
      <c r="J10" s="3">
        <f t="shared" si="1"/>
        <v>0</v>
      </c>
      <c r="K10" s="140">
        <v>0</v>
      </c>
      <c r="L10" s="126">
        <f t="shared" si="2"/>
        <v>0</v>
      </c>
      <c r="M10" s="126">
        <v>0</v>
      </c>
      <c r="N10" s="127">
        <f t="shared" si="3"/>
        <v>0</v>
      </c>
      <c r="O10" s="165">
        <f t="shared" si="4"/>
        <v>0</v>
      </c>
      <c r="P10" s="125"/>
      <c r="Q10" s="64"/>
      <c r="R10"/>
      <c r="S10"/>
      <c r="T10"/>
      <c r="U10"/>
      <c r="V10"/>
      <c r="W10"/>
      <c r="X10"/>
      <c r="Y10"/>
      <c r="Z10"/>
      <c r="AA10"/>
      <c r="AB10"/>
      <c r="AC10"/>
      <c r="AD10"/>
      <c r="AE10"/>
      <c r="AF10"/>
      <c r="AG10"/>
      <c r="AH10"/>
      <c r="AI10"/>
      <c r="AJ10"/>
      <c r="AK10"/>
      <c r="AL10"/>
      <c r="AM10"/>
      <c r="AN10"/>
      <c r="AO10"/>
      <c r="AP10"/>
      <c r="AQ10"/>
      <c r="AR10"/>
      <c r="AS10"/>
      <c r="AT10"/>
      <c r="AU10"/>
    </row>
    <row r="11" spans="1:47" s="120" customFormat="1" ht="20.100000000000001" customHeight="1" x14ac:dyDescent="0.2">
      <c r="A11" s="122">
        <f t="shared" si="5"/>
        <v>5</v>
      </c>
      <c r="B11" s="6"/>
      <c r="C11" s="6"/>
      <c r="D11" s="42" t="s">
        <v>15</v>
      </c>
      <c r="E11" s="163">
        <v>1</v>
      </c>
      <c r="F11" s="164">
        <v>0</v>
      </c>
      <c r="G11" s="163">
        <f t="shared" si="0"/>
        <v>1</v>
      </c>
      <c r="H11" s="6" t="s">
        <v>11</v>
      </c>
      <c r="I11" s="3">
        <v>0</v>
      </c>
      <c r="J11" s="3">
        <f t="shared" si="1"/>
        <v>0</v>
      </c>
      <c r="K11" s="140">
        <v>0</v>
      </c>
      <c r="L11" s="126">
        <f t="shared" si="2"/>
        <v>0</v>
      </c>
      <c r="M11" s="126">
        <v>0</v>
      </c>
      <c r="N11" s="127">
        <f t="shared" si="3"/>
        <v>0</v>
      </c>
      <c r="O11" s="165">
        <f t="shared" si="4"/>
        <v>0</v>
      </c>
      <c r="P11" s="125"/>
      <c r="Q11" s="64"/>
      <c r="R11"/>
      <c r="S11"/>
      <c r="T11"/>
      <c r="U11"/>
      <c r="V11"/>
      <c r="W11"/>
      <c r="X11"/>
      <c r="Y11"/>
      <c r="Z11"/>
      <c r="AA11"/>
      <c r="AB11"/>
      <c r="AC11"/>
      <c r="AD11"/>
      <c r="AE11"/>
      <c r="AF11"/>
      <c r="AG11"/>
      <c r="AH11"/>
      <c r="AI11"/>
      <c r="AJ11"/>
      <c r="AK11"/>
      <c r="AL11"/>
      <c r="AM11"/>
      <c r="AN11"/>
      <c r="AO11"/>
      <c r="AP11"/>
      <c r="AQ11"/>
      <c r="AR11"/>
      <c r="AS11"/>
      <c r="AT11"/>
      <c r="AU11"/>
    </row>
    <row r="12" spans="1:47" s="120" customFormat="1" ht="20.100000000000001" customHeight="1" thickBot="1" x14ac:dyDescent="0.25">
      <c r="A12" s="122">
        <f t="shared" si="5"/>
        <v>6</v>
      </c>
      <c r="B12" s="6"/>
      <c r="C12" s="6"/>
      <c r="D12" s="42" t="s">
        <v>16</v>
      </c>
      <c r="E12" s="163">
        <v>1</v>
      </c>
      <c r="F12" s="164">
        <v>0</v>
      </c>
      <c r="G12" s="163">
        <f t="shared" si="0"/>
        <v>1</v>
      </c>
      <c r="H12" s="6" t="s">
        <v>11</v>
      </c>
      <c r="I12" s="3">
        <v>0</v>
      </c>
      <c r="J12" s="3">
        <f t="shared" si="1"/>
        <v>0</v>
      </c>
      <c r="K12" s="140">
        <v>0</v>
      </c>
      <c r="L12" s="126">
        <f t="shared" si="2"/>
        <v>0</v>
      </c>
      <c r="M12" s="126">
        <v>0</v>
      </c>
      <c r="N12" s="127">
        <f t="shared" si="3"/>
        <v>0</v>
      </c>
      <c r="O12" s="165">
        <f t="shared" si="4"/>
        <v>0</v>
      </c>
      <c r="P12" s="125"/>
      <c r="Q12" s="64"/>
      <c r="R12"/>
      <c r="S12"/>
      <c r="T12"/>
      <c r="U12"/>
      <c r="V12"/>
      <c r="W12"/>
      <c r="X12"/>
      <c r="Y12"/>
      <c r="Z12"/>
      <c r="AA12"/>
      <c r="AB12"/>
      <c r="AC12"/>
      <c r="AD12"/>
      <c r="AE12"/>
      <c r="AF12"/>
      <c r="AG12"/>
      <c r="AH12"/>
      <c r="AI12"/>
      <c r="AJ12"/>
      <c r="AK12"/>
      <c r="AL12"/>
      <c r="AM12"/>
      <c r="AN12"/>
      <c r="AO12"/>
      <c r="AP12"/>
      <c r="AQ12"/>
      <c r="AR12"/>
      <c r="AS12"/>
      <c r="AT12"/>
      <c r="AU12"/>
    </row>
    <row r="13" spans="1:47" ht="15.75" x14ac:dyDescent="0.2">
      <c r="A13" s="182" t="str">
        <f t="shared" si="5"/>
        <v/>
      </c>
      <c r="B13" s="183"/>
      <c r="C13" s="183"/>
      <c r="D13" s="129" t="s">
        <v>17</v>
      </c>
      <c r="E13" s="184"/>
      <c r="F13" s="185"/>
      <c r="G13" s="184"/>
      <c r="H13" s="186"/>
      <c r="I13" s="187"/>
      <c r="J13" s="187"/>
      <c r="K13" s="188"/>
      <c r="L13" s="189" t="str">
        <f>IF(H13&lt;&gt;"",0.4*N13,"")</f>
        <v/>
      </c>
      <c r="M13" s="189" t="str">
        <f>IF(H13&lt;&gt;"",N13-L13,"")</f>
        <v/>
      </c>
      <c r="N13" s="190"/>
      <c r="O13" s="191"/>
      <c r="P13" s="192">
        <f>SUM(O7:O12)</f>
        <v>0</v>
      </c>
    </row>
    <row r="14" spans="1:47" ht="15.75" x14ac:dyDescent="0.2">
      <c r="A14" s="172" t="str">
        <f t="shared" si="5"/>
        <v/>
      </c>
      <c r="B14" s="173"/>
      <c r="C14" s="174">
        <v>60000</v>
      </c>
      <c r="D14" s="175" t="s">
        <v>179</v>
      </c>
      <c r="E14" s="176"/>
      <c r="F14" s="177"/>
      <c r="G14" s="176"/>
      <c r="H14" s="173"/>
      <c r="I14" s="173"/>
      <c r="J14" s="173"/>
      <c r="K14" s="173"/>
      <c r="L14" s="178" t="str">
        <f>IF(H14&lt;&gt;"",0.4*N14,"")</f>
        <v/>
      </c>
      <c r="M14" s="178" t="str">
        <f>IF(H14&lt;&gt;"",N14-L14,"")</f>
        <v/>
      </c>
      <c r="N14" s="179"/>
      <c r="O14" s="180"/>
      <c r="P14" s="181"/>
    </row>
    <row r="15" spans="1:47" ht="15.75" x14ac:dyDescent="0.2">
      <c r="A15" s="122" t="str">
        <f t="shared" si="5"/>
        <v/>
      </c>
      <c r="B15" s="166"/>
      <c r="C15" s="166"/>
      <c r="D15" s="167"/>
      <c r="E15" s="168"/>
      <c r="F15" s="164"/>
      <c r="G15" s="163"/>
      <c r="H15" s="6"/>
      <c r="I15" s="3"/>
      <c r="J15" s="3"/>
      <c r="K15" s="161"/>
      <c r="L15" s="143"/>
      <c r="M15" s="143"/>
      <c r="N15" s="162"/>
      <c r="O15" s="165"/>
      <c r="P15" s="125"/>
    </row>
    <row r="16" spans="1:47" ht="18.75" x14ac:dyDescent="0.2">
      <c r="A16" s="122" t="str">
        <f t="shared" si="5"/>
        <v/>
      </c>
      <c r="B16" s="166"/>
      <c r="C16" s="166"/>
      <c r="D16" s="169" t="s">
        <v>140</v>
      </c>
      <c r="E16" s="168"/>
      <c r="F16" s="164"/>
      <c r="G16" s="163"/>
      <c r="H16" s="6"/>
      <c r="I16" s="3"/>
      <c r="J16" s="3"/>
      <c r="K16" s="161"/>
      <c r="L16" s="143"/>
      <c r="M16" s="143"/>
      <c r="N16" s="162"/>
      <c r="O16" s="165"/>
      <c r="P16" s="125"/>
    </row>
    <row r="17" spans="1:16" ht="15.75" x14ac:dyDescent="0.2">
      <c r="A17" s="122" t="str">
        <f>IF(H17&lt;&gt;"",1+MAX(A5:A16),"")</f>
        <v/>
      </c>
      <c r="B17" s="166"/>
      <c r="C17" s="166"/>
      <c r="D17" s="167"/>
      <c r="E17" s="168"/>
      <c r="F17" s="164"/>
      <c r="G17" s="163"/>
      <c r="H17" s="6"/>
      <c r="I17" s="3"/>
      <c r="J17" s="3"/>
      <c r="K17" s="161"/>
      <c r="L17" s="143"/>
      <c r="M17" s="143"/>
      <c r="N17" s="162"/>
      <c r="O17" s="165"/>
      <c r="P17" s="125"/>
    </row>
    <row r="18" spans="1:16" ht="18" customHeight="1" x14ac:dyDescent="0.2">
      <c r="A18" s="122" t="str">
        <f>IF(H18&lt;&gt;"",1+MAX(A6:A17),"")</f>
        <v/>
      </c>
      <c r="B18" s="166"/>
      <c r="C18" s="166"/>
      <c r="D18" s="171" t="s">
        <v>181</v>
      </c>
      <c r="E18" s="168"/>
      <c r="F18" s="164"/>
      <c r="G18" s="163"/>
      <c r="H18" s="6"/>
      <c r="I18" s="3"/>
      <c r="J18" s="3"/>
      <c r="K18" s="161"/>
      <c r="L18" s="143"/>
      <c r="M18" s="143"/>
      <c r="N18" s="162"/>
      <c r="O18" s="165"/>
      <c r="P18" s="125"/>
    </row>
    <row r="19" spans="1:16" ht="18" customHeight="1" x14ac:dyDescent="0.2">
      <c r="A19" s="122">
        <f>IF(H19&lt;&gt;"",1+MAX(A7:A18),"")</f>
        <v>7</v>
      </c>
      <c r="B19" s="166" t="s">
        <v>147</v>
      </c>
      <c r="C19" s="166" t="s">
        <v>147</v>
      </c>
      <c r="D19" s="167" t="s">
        <v>184</v>
      </c>
      <c r="E19" s="168">
        <f>(246*10+58.5*9+26*18.2+48.5*9)/1.2</f>
        <v>3246.8333333333335</v>
      </c>
      <c r="F19" s="164">
        <v>0.05</v>
      </c>
      <c r="G19" s="163">
        <f t="shared" ref="G19:G20" si="6">E19+(E19*F19)</f>
        <v>3409.1750000000002</v>
      </c>
      <c r="H19" s="6" t="s">
        <v>119</v>
      </c>
      <c r="I19" s="193">
        <v>2.0999999999999998E-2</v>
      </c>
      <c r="J19" s="3">
        <f t="shared" ref="J19:J21" si="7">I19*G19</f>
        <v>71.592675</v>
      </c>
      <c r="K19" s="140">
        <v>78.45</v>
      </c>
      <c r="L19" s="126">
        <f t="shared" ref="L19:L21" si="8">K19*J19</f>
        <v>5616.4453537500003</v>
      </c>
      <c r="M19" s="126">
        <v>1.96</v>
      </c>
      <c r="N19" s="127">
        <f t="shared" ref="N19:N21" si="9">M19*G19</f>
        <v>6681.9830000000002</v>
      </c>
      <c r="O19" s="165">
        <f t="shared" ref="O19:O21" si="10">L19+N19</f>
        <v>12298.428353750001</v>
      </c>
      <c r="P19" s="125"/>
    </row>
    <row r="20" spans="1:16" ht="18" customHeight="1" x14ac:dyDescent="0.2">
      <c r="A20" s="122">
        <f t="shared" ref="A20:A83" si="11">IF(H20&lt;&gt;"",1+MAX(A8:A19),"")</f>
        <v>8</v>
      </c>
      <c r="B20" s="166" t="s">
        <v>147</v>
      </c>
      <c r="C20" s="166" t="s">
        <v>147</v>
      </c>
      <c r="D20" s="167" t="s">
        <v>185</v>
      </c>
      <c r="E20" s="168">
        <f>2*380</f>
        <v>760</v>
      </c>
      <c r="F20" s="164">
        <v>0.05</v>
      </c>
      <c r="G20" s="163">
        <f t="shared" si="6"/>
        <v>798</v>
      </c>
      <c r="H20" s="6" t="s">
        <v>119</v>
      </c>
      <c r="I20" s="193">
        <v>2.0999999999999998E-2</v>
      </c>
      <c r="J20" s="3">
        <f t="shared" si="7"/>
        <v>16.757999999999999</v>
      </c>
      <c r="K20" s="140">
        <v>78.45</v>
      </c>
      <c r="L20" s="126">
        <f t="shared" si="8"/>
        <v>1314.6650999999999</v>
      </c>
      <c r="M20" s="126">
        <v>1.96</v>
      </c>
      <c r="N20" s="127">
        <f t="shared" si="9"/>
        <v>1564.08</v>
      </c>
      <c r="O20" s="165">
        <f t="shared" si="10"/>
        <v>2878.7451000000001</v>
      </c>
      <c r="P20" s="125"/>
    </row>
    <row r="21" spans="1:16" ht="18" customHeight="1" x14ac:dyDescent="0.2">
      <c r="A21" s="122">
        <f t="shared" si="11"/>
        <v>9</v>
      </c>
      <c r="B21" s="166" t="s">
        <v>147</v>
      </c>
      <c r="C21" s="166" t="s">
        <v>147</v>
      </c>
      <c r="D21" s="167" t="s">
        <v>186</v>
      </c>
      <c r="E21" s="168">
        <v>380</v>
      </c>
      <c r="F21" s="164">
        <v>0.05</v>
      </c>
      <c r="G21" s="163">
        <f t="shared" ref="G21" si="12">E21+(E21*F21)</f>
        <v>399</v>
      </c>
      <c r="H21" s="6" t="s">
        <v>119</v>
      </c>
      <c r="I21" s="193">
        <v>2.0999999999999998E-2</v>
      </c>
      <c r="J21" s="3">
        <f t="shared" si="7"/>
        <v>8.3789999999999996</v>
      </c>
      <c r="K21" s="140">
        <v>78.45</v>
      </c>
      <c r="L21" s="126">
        <f t="shared" si="8"/>
        <v>657.33254999999997</v>
      </c>
      <c r="M21" s="126">
        <v>1.96</v>
      </c>
      <c r="N21" s="127">
        <f t="shared" si="9"/>
        <v>782.04</v>
      </c>
      <c r="O21" s="165">
        <f t="shared" si="10"/>
        <v>1439.37255</v>
      </c>
      <c r="P21" s="125"/>
    </row>
    <row r="22" spans="1:16" ht="15.75" x14ac:dyDescent="0.2">
      <c r="A22" s="122" t="str">
        <f t="shared" si="11"/>
        <v/>
      </c>
      <c r="B22" s="166"/>
      <c r="C22" s="166"/>
      <c r="D22" s="167"/>
      <c r="E22" s="168"/>
      <c r="F22" s="164"/>
      <c r="G22" s="163"/>
      <c r="H22" s="6"/>
      <c r="I22" s="193"/>
      <c r="J22" s="3"/>
      <c r="K22" s="161"/>
      <c r="L22" s="143"/>
      <c r="M22" s="143"/>
      <c r="N22" s="162"/>
      <c r="O22" s="165"/>
      <c r="P22" s="125"/>
    </row>
    <row r="23" spans="1:16" ht="18" customHeight="1" x14ac:dyDescent="0.2">
      <c r="A23" s="122" t="str">
        <f t="shared" si="11"/>
        <v/>
      </c>
      <c r="B23" s="166"/>
      <c r="C23" s="166"/>
      <c r="D23" s="171" t="s">
        <v>182</v>
      </c>
      <c r="E23" s="168"/>
      <c r="F23" s="164"/>
      <c r="G23" s="163"/>
      <c r="H23" s="6"/>
      <c r="I23" s="193"/>
      <c r="J23" s="3"/>
      <c r="K23" s="161"/>
      <c r="L23" s="143"/>
      <c r="M23" s="143"/>
      <c r="N23" s="162"/>
      <c r="O23" s="165"/>
      <c r="P23" s="125"/>
    </row>
    <row r="24" spans="1:16" ht="18" customHeight="1" x14ac:dyDescent="0.2">
      <c r="A24" s="122">
        <f t="shared" si="11"/>
        <v>10</v>
      </c>
      <c r="B24" s="166" t="s">
        <v>147</v>
      </c>
      <c r="C24" s="166" t="s">
        <v>147</v>
      </c>
      <c r="D24" s="167" t="s">
        <v>188</v>
      </c>
      <c r="E24" s="168">
        <f>(45*10+8.2*9)/1.2</f>
        <v>436.5</v>
      </c>
      <c r="F24" s="164">
        <v>0.05</v>
      </c>
      <c r="G24" s="163">
        <f t="shared" ref="G24:G26" si="13">E24+(E24*F24)</f>
        <v>458.32499999999999</v>
      </c>
      <c r="H24" s="6" t="s">
        <v>119</v>
      </c>
      <c r="I24" s="193">
        <v>1.95E-2</v>
      </c>
      <c r="J24" s="3">
        <f t="shared" ref="J24:J26" si="14">I24*G24</f>
        <v>8.9373374999999999</v>
      </c>
      <c r="K24" s="140">
        <v>78.45</v>
      </c>
      <c r="L24" s="126">
        <f t="shared" ref="L24:L26" si="15">K24*J24</f>
        <v>701.13412687499999</v>
      </c>
      <c r="M24" s="126">
        <v>1.82</v>
      </c>
      <c r="N24" s="127">
        <f t="shared" ref="N24:N26" si="16">M24*G24</f>
        <v>834.15150000000006</v>
      </c>
      <c r="O24" s="165">
        <f t="shared" ref="O24:O26" si="17">L24+N24</f>
        <v>1535.2856268750002</v>
      </c>
      <c r="P24" s="125"/>
    </row>
    <row r="25" spans="1:16" ht="18" customHeight="1" x14ac:dyDescent="0.2">
      <c r="A25" s="122">
        <f t="shared" si="11"/>
        <v>11</v>
      </c>
      <c r="B25" s="166" t="s">
        <v>147</v>
      </c>
      <c r="C25" s="166" t="s">
        <v>147</v>
      </c>
      <c r="D25" s="167" t="s">
        <v>189</v>
      </c>
      <c r="E25" s="168">
        <f>2*53</f>
        <v>106</v>
      </c>
      <c r="F25" s="164">
        <v>0.05</v>
      </c>
      <c r="G25" s="163">
        <f t="shared" si="13"/>
        <v>111.3</v>
      </c>
      <c r="H25" s="6" t="s">
        <v>119</v>
      </c>
      <c r="I25" s="193">
        <v>1.95E-2</v>
      </c>
      <c r="J25" s="3">
        <f t="shared" si="14"/>
        <v>2.17035</v>
      </c>
      <c r="K25" s="140">
        <v>78.45</v>
      </c>
      <c r="L25" s="126">
        <f t="shared" si="15"/>
        <v>170.2639575</v>
      </c>
      <c r="M25" s="126">
        <v>1.82</v>
      </c>
      <c r="N25" s="127">
        <f t="shared" si="16"/>
        <v>202.566</v>
      </c>
      <c r="O25" s="165">
        <f t="shared" si="17"/>
        <v>372.82995749999998</v>
      </c>
      <c r="P25" s="125"/>
    </row>
    <row r="26" spans="1:16" ht="18" customHeight="1" x14ac:dyDescent="0.2">
      <c r="A26" s="122">
        <f t="shared" si="11"/>
        <v>12</v>
      </c>
      <c r="B26" s="166" t="s">
        <v>147</v>
      </c>
      <c r="C26" s="166" t="s">
        <v>147</v>
      </c>
      <c r="D26" s="167" t="s">
        <v>190</v>
      </c>
      <c r="E26" s="168">
        <v>53</v>
      </c>
      <c r="F26" s="164">
        <v>0.05</v>
      </c>
      <c r="G26" s="163">
        <f t="shared" si="13"/>
        <v>55.65</v>
      </c>
      <c r="H26" s="6" t="s">
        <v>119</v>
      </c>
      <c r="I26" s="193">
        <v>1.95E-2</v>
      </c>
      <c r="J26" s="3">
        <f t="shared" si="14"/>
        <v>1.085175</v>
      </c>
      <c r="K26" s="140">
        <v>78.45</v>
      </c>
      <c r="L26" s="126">
        <f t="shared" si="15"/>
        <v>85.131978750000002</v>
      </c>
      <c r="M26" s="126">
        <v>1.82</v>
      </c>
      <c r="N26" s="127">
        <f t="shared" si="16"/>
        <v>101.283</v>
      </c>
      <c r="O26" s="165">
        <f t="shared" si="17"/>
        <v>186.41497874999999</v>
      </c>
      <c r="P26" s="125"/>
    </row>
    <row r="27" spans="1:16" ht="15.75" x14ac:dyDescent="0.2">
      <c r="A27" s="122" t="str">
        <f t="shared" si="11"/>
        <v/>
      </c>
      <c r="B27" s="166"/>
      <c r="C27" s="166"/>
      <c r="D27" s="167"/>
      <c r="E27" s="168"/>
      <c r="F27" s="164"/>
      <c r="G27" s="163"/>
      <c r="H27" s="6"/>
      <c r="I27" s="193"/>
      <c r="J27" s="3"/>
      <c r="K27" s="161"/>
      <c r="L27" s="143"/>
      <c r="M27" s="143"/>
      <c r="N27" s="162"/>
      <c r="O27" s="165"/>
      <c r="P27" s="125"/>
    </row>
    <row r="28" spans="1:16" ht="18" customHeight="1" x14ac:dyDescent="0.2">
      <c r="A28" s="122" t="str">
        <f t="shared" si="11"/>
        <v/>
      </c>
      <c r="B28" s="166"/>
      <c r="C28" s="166"/>
      <c r="D28" s="171" t="s">
        <v>183</v>
      </c>
      <c r="E28" s="168"/>
      <c r="F28" s="164"/>
      <c r="G28" s="163"/>
      <c r="H28" s="6"/>
      <c r="I28" s="193"/>
      <c r="J28" s="3"/>
      <c r="K28" s="161"/>
      <c r="L28" s="143"/>
      <c r="M28" s="143"/>
      <c r="N28" s="162"/>
      <c r="O28" s="165"/>
      <c r="P28" s="125"/>
    </row>
    <row r="29" spans="1:16" ht="18" customHeight="1" x14ac:dyDescent="0.2">
      <c r="A29" s="122">
        <f t="shared" si="11"/>
        <v>13</v>
      </c>
      <c r="B29" s="166" t="s">
        <v>147</v>
      </c>
      <c r="C29" s="166" t="s">
        <v>147</v>
      </c>
      <c r="D29" s="167" t="s">
        <v>184</v>
      </c>
      <c r="E29" s="168">
        <f>(370*10+78*12+46*18+255*9)</f>
        <v>7759</v>
      </c>
      <c r="F29" s="164">
        <v>0.05</v>
      </c>
      <c r="G29" s="163">
        <f t="shared" ref="G29:G31" si="18">E29+(E29*F29)</f>
        <v>8146.95</v>
      </c>
      <c r="H29" s="6" t="s">
        <v>119</v>
      </c>
      <c r="I29" s="193">
        <v>2.0999999999999998E-2</v>
      </c>
      <c r="J29" s="3">
        <f t="shared" ref="J29:J31" si="19">I29*G29</f>
        <v>171.08594999999997</v>
      </c>
      <c r="K29" s="140">
        <v>78.45</v>
      </c>
      <c r="L29" s="126">
        <f t="shared" ref="L29:L31" si="20">K29*J29</f>
        <v>13421.692777499999</v>
      </c>
      <c r="M29" s="126">
        <v>1.96</v>
      </c>
      <c r="N29" s="127">
        <f t="shared" ref="N29:N31" si="21">M29*G29</f>
        <v>15968.021999999999</v>
      </c>
      <c r="O29" s="165">
        <f t="shared" ref="O29:O31" si="22">L29+N29</f>
        <v>29389.714777499998</v>
      </c>
      <c r="P29" s="125"/>
    </row>
    <row r="30" spans="1:16" ht="18" customHeight="1" x14ac:dyDescent="0.2">
      <c r="A30" s="122">
        <f t="shared" si="11"/>
        <v>14</v>
      </c>
      <c r="B30" s="166" t="s">
        <v>147</v>
      </c>
      <c r="C30" s="166" t="s">
        <v>147</v>
      </c>
      <c r="D30" s="167" t="s">
        <v>185</v>
      </c>
      <c r="E30" s="168">
        <f>2*751</f>
        <v>1502</v>
      </c>
      <c r="F30" s="164">
        <v>0.05</v>
      </c>
      <c r="G30" s="163">
        <f t="shared" si="18"/>
        <v>1577.1</v>
      </c>
      <c r="H30" s="6" t="s">
        <v>119</v>
      </c>
      <c r="I30" s="193">
        <v>2.0999999999999998E-2</v>
      </c>
      <c r="J30" s="3">
        <f t="shared" si="19"/>
        <v>33.119099999999996</v>
      </c>
      <c r="K30" s="140">
        <v>78.45</v>
      </c>
      <c r="L30" s="126">
        <f t="shared" si="20"/>
        <v>2598.1933949999998</v>
      </c>
      <c r="M30" s="126">
        <v>1.96</v>
      </c>
      <c r="N30" s="127">
        <f t="shared" si="21"/>
        <v>3091.116</v>
      </c>
      <c r="O30" s="165">
        <f t="shared" si="22"/>
        <v>5689.3093950000002</v>
      </c>
      <c r="P30" s="125"/>
    </row>
    <row r="31" spans="1:16" ht="18" customHeight="1" x14ac:dyDescent="0.2">
      <c r="A31" s="122">
        <f t="shared" si="11"/>
        <v>15</v>
      </c>
      <c r="B31" s="166" t="s">
        <v>147</v>
      </c>
      <c r="C31" s="166" t="s">
        <v>147</v>
      </c>
      <c r="D31" s="167" t="s">
        <v>186</v>
      </c>
      <c r="E31" s="168">
        <v>751</v>
      </c>
      <c r="F31" s="164">
        <v>0.05</v>
      </c>
      <c r="G31" s="163">
        <f t="shared" si="18"/>
        <v>788.55</v>
      </c>
      <c r="H31" s="6" t="s">
        <v>119</v>
      </c>
      <c r="I31" s="193">
        <v>2.0999999999999998E-2</v>
      </c>
      <c r="J31" s="3">
        <f t="shared" si="19"/>
        <v>16.559549999999998</v>
      </c>
      <c r="K31" s="140">
        <v>78.45</v>
      </c>
      <c r="L31" s="126">
        <f t="shared" si="20"/>
        <v>1299.0966974999999</v>
      </c>
      <c r="M31" s="126">
        <v>1.96</v>
      </c>
      <c r="N31" s="127">
        <f t="shared" si="21"/>
        <v>1545.558</v>
      </c>
      <c r="O31" s="165">
        <f t="shared" si="22"/>
        <v>2844.6546975000001</v>
      </c>
      <c r="P31" s="125"/>
    </row>
    <row r="32" spans="1:16" ht="15.75" x14ac:dyDescent="0.2">
      <c r="A32" s="122" t="str">
        <f t="shared" si="11"/>
        <v/>
      </c>
      <c r="B32" s="166"/>
      <c r="C32" s="166"/>
      <c r="D32" s="167"/>
      <c r="E32" s="168"/>
      <c r="F32" s="164"/>
      <c r="G32" s="163"/>
      <c r="H32" s="6"/>
      <c r="I32" s="193"/>
      <c r="J32" s="3"/>
      <c r="K32" s="161"/>
      <c r="L32" s="143"/>
      <c r="M32" s="143"/>
      <c r="N32" s="162"/>
      <c r="O32" s="165"/>
      <c r="P32" s="125"/>
    </row>
    <row r="33" spans="1:16" ht="18.75" x14ac:dyDescent="0.2">
      <c r="A33" s="122" t="str">
        <f t="shared" si="11"/>
        <v/>
      </c>
      <c r="B33" s="166"/>
      <c r="C33" s="166"/>
      <c r="D33" s="169" t="s">
        <v>121</v>
      </c>
      <c r="E33" s="168"/>
      <c r="F33" s="164"/>
      <c r="G33" s="163"/>
      <c r="H33" s="6"/>
      <c r="I33" s="193"/>
      <c r="J33" s="3"/>
      <c r="K33" s="140"/>
      <c r="L33" s="126"/>
      <c r="M33" s="126"/>
      <c r="N33" s="127"/>
      <c r="O33" s="165"/>
      <c r="P33" s="125"/>
    </row>
    <row r="34" spans="1:16" ht="18" customHeight="1" x14ac:dyDescent="0.2">
      <c r="A34" s="122">
        <f t="shared" si="11"/>
        <v>16</v>
      </c>
      <c r="B34" s="166" t="s">
        <v>123</v>
      </c>
      <c r="C34" s="166" t="s">
        <v>123</v>
      </c>
      <c r="D34" s="167" t="s">
        <v>191</v>
      </c>
      <c r="E34" s="168">
        <v>30</v>
      </c>
      <c r="F34" s="164">
        <v>0</v>
      </c>
      <c r="G34" s="163">
        <f t="shared" ref="G34:G36" si="23">E34+(E34*F34)</f>
        <v>30</v>
      </c>
      <c r="H34" s="6" t="s">
        <v>118</v>
      </c>
      <c r="I34" s="193">
        <v>0.60562499999999997</v>
      </c>
      <c r="J34" s="3">
        <f t="shared" ref="J34:J36" si="24">I34*G34</f>
        <v>18.168749999999999</v>
      </c>
      <c r="K34" s="140">
        <v>78.45</v>
      </c>
      <c r="L34" s="126">
        <f t="shared" ref="L34:L36" si="25">K34*J34</f>
        <v>1425.3384375000001</v>
      </c>
      <c r="M34" s="126">
        <v>56.525000000000006</v>
      </c>
      <c r="N34" s="127">
        <f t="shared" ref="N34:N36" si="26">M34*G34</f>
        <v>1695.7500000000002</v>
      </c>
      <c r="O34" s="165">
        <f t="shared" ref="O34:O36" si="27">L34+N34</f>
        <v>3121.0884375000005</v>
      </c>
      <c r="P34" s="125"/>
    </row>
    <row r="35" spans="1:16" ht="18" customHeight="1" x14ac:dyDescent="0.2">
      <c r="A35" s="122">
        <f t="shared" si="11"/>
        <v>17</v>
      </c>
      <c r="B35" s="166" t="s">
        <v>124</v>
      </c>
      <c r="C35" s="166" t="s">
        <v>124</v>
      </c>
      <c r="D35" s="167" t="s">
        <v>192</v>
      </c>
      <c r="E35" s="168">
        <v>6</v>
      </c>
      <c r="F35" s="164">
        <v>0</v>
      </c>
      <c r="G35" s="163">
        <f t="shared" ref="G35" si="28">E35+(E35*F35)</f>
        <v>6</v>
      </c>
      <c r="H35" s="6" t="s">
        <v>118</v>
      </c>
      <c r="I35" s="193">
        <v>0.23396249999999999</v>
      </c>
      <c r="J35" s="3">
        <f t="shared" si="24"/>
        <v>1.403775</v>
      </c>
      <c r="K35" s="140">
        <v>78.45</v>
      </c>
      <c r="L35" s="126">
        <f t="shared" si="25"/>
        <v>110.12614875</v>
      </c>
      <c r="M35" s="126">
        <v>21.836500000000001</v>
      </c>
      <c r="N35" s="127">
        <f t="shared" si="26"/>
        <v>131.01900000000001</v>
      </c>
      <c r="O35" s="165">
        <f t="shared" si="27"/>
        <v>241.14514875</v>
      </c>
      <c r="P35" s="125"/>
    </row>
    <row r="36" spans="1:16" ht="18" customHeight="1" x14ac:dyDescent="0.2">
      <c r="A36" s="122">
        <f t="shared" si="11"/>
        <v>18</v>
      </c>
      <c r="B36" s="166" t="s">
        <v>123</v>
      </c>
      <c r="C36" s="166" t="s">
        <v>123</v>
      </c>
      <c r="D36" s="167" t="s">
        <v>193</v>
      </c>
      <c r="E36" s="168">
        <v>3</v>
      </c>
      <c r="F36" s="164">
        <v>0</v>
      </c>
      <c r="G36" s="163">
        <f t="shared" si="23"/>
        <v>3</v>
      </c>
      <c r="H36" s="6" t="s">
        <v>118</v>
      </c>
      <c r="I36" s="193">
        <v>0.37049999999999994</v>
      </c>
      <c r="J36" s="3">
        <f t="shared" si="24"/>
        <v>1.1114999999999999</v>
      </c>
      <c r="K36" s="140">
        <v>78.45</v>
      </c>
      <c r="L36" s="126">
        <f t="shared" si="25"/>
        <v>87.197175000000001</v>
      </c>
      <c r="M36" s="126">
        <v>34.58</v>
      </c>
      <c r="N36" s="127">
        <f t="shared" si="26"/>
        <v>103.74</v>
      </c>
      <c r="O36" s="165">
        <f t="shared" si="27"/>
        <v>190.937175</v>
      </c>
      <c r="P36" s="125"/>
    </row>
    <row r="37" spans="1:16" ht="15.75" x14ac:dyDescent="0.2">
      <c r="A37" s="122" t="str">
        <f t="shared" si="11"/>
        <v/>
      </c>
      <c r="B37" s="166"/>
      <c r="C37" s="166"/>
      <c r="D37" s="167"/>
      <c r="E37" s="168"/>
      <c r="F37" s="164"/>
      <c r="G37" s="163"/>
      <c r="H37" s="6"/>
      <c r="I37" s="193"/>
      <c r="J37" s="3"/>
      <c r="K37" s="161"/>
      <c r="L37" s="143"/>
      <c r="M37" s="143"/>
      <c r="N37" s="162"/>
      <c r="O37" s="165"/>
      <c r="P37" s="125"/>
    </row>
    <row r="38" spans="1:16" ht="18.75" x14ac:dyDescent="0.2">
      <c r="A38" s="122" t="str">
        <f t="shared" si="11"/>
        <v/>
      </c>
      <c r="B38" s="166"/>
      <c r="C38" s="166"/>
      <c r="D38" s="169" t="s">
        <v>122</v>
      </c>
      <c r="E38" s="168"/>
      <c r="F38" s="164"/>
      <c r="G38" s="163"/>
      <c r="H38" s="6"/>
      <c r="I38" s="193"/>
      <c r="J38" s="3"/>
      <c r="K38" s="140"/>
      <c r="L38" s="126"/>
      <c r="M38" s="126"/>
      <c r="N38" s="127"/>
      <c r="O38" s="165"/>
      <c r="P38" s="125"/>
    </row>
    <row r="39" spans="1:16" ht="31.5" x14ac:dyDescent="0.2">
      <c r="A39" s="122">
        <f t="shared" si="11"/>
        <v>19</v>
      </c>
      <c r="B39" s="166" t="s">
        <v>125</v>
      </c>
      <c r="C39" s="166" t="s">
        <v>126</v>
      </c>
      <c r="D39" s="167" t="s">
        <v>194</v>
      </c>
      <c r="E39" s="168">
        <v>8</v>
      </c>
      <c r="F39" s="164">
        <v>0</v>
      </c>
      <c r="G39" s="163">
        <f t="shared" ref="G39:G41" si="29">E39+(E39*F39)</f>
        <v>8</v>
      </c>
      <c r="H39" s="6" t="s">
        <v>118</v>
      </c>
      <c r="I39" s="193">
        <v>0.36093750000000002</v>
      </c>
      <c r="J39" s="3">
        <f t="shared" ref="J39:J41" si="30">I39*G39</f>
        <v>2.8875000000000002</v>
      </c>
      <c r="K39" s="140">
        <v>78.45</v>
      </c>
      <c r="L39" s="126">
        <f t="shared" ref="L39:L41" si="31">K39*J39</f>
        <v>226.52437500000002</v>
      </c>
      <c r="M39" s="126">
        <v>33.6875</v>
      </c>
      <c r="N39" s="127">
        <f t="shared" ref="N39:N41" si="32">M39*G39</f>
        <v>269.5</v>
      </c>
      <c r="O39" s="165">
        <f t="shared" ref="O39:O41" si="33">L39+N39</f>
        <v>496.02437500000002</v>
      </c>
      <c r="P39" s="125"/>
    </row>
    <row r="40" spans="1:16" ht="31.5" x14ac:dyDescent="0.2">
      <c r="A40" s="122">
        <f t="shared" si="11"/>
        <v>20</v>
      </c>
      <c r="B40" s="166" t="s">
        <v>125</v>
      </c>
      <c r="C40" s="166" t="s">
        <v>126</v>
      </c>
      <c r="D40" s="167" t="s">
        <v>261</v>
      </c>
      <c r="E40" s="168">
        <v>17</v>
      </c>
      <c r="F40" s="164">
        <v>0</v>
      </c>
      <c r="G40" s="163">
        <f t="shared" si="29"/>
        <v>17</v>
      </c>
      <c r="H40" s="6" t="s">
        <v>118</v>
      </c>
      <c r="I40" s="193">
        <v>0.63085714285714301</v>
      </c>
      <c r="J40" s="3">
        <f t="shared" si="30"/>
        <v>10.724571428571432</v>
      </c>
      <c r="K40" s="140">
        <v>78.45</v>
      </c>
      <c r="L40" s="126">
        <f t="shared" si="31"/>
        <v>841.3426285714288</v>
      </c>
      <c r="M40" s="126">
        <v>58.88000000000001</v>
      </c>
      <c r="N40" s="127">
        <f t="shared" si="32"/>
        <v>1000.9600000000002</v>
      </c>
      <c r="O40" s="165">
        <f t="shared" si="33"/>
        <v>1842.3026285714291</v>
      </c>
      <c r="P40" s="125"/>
    </row>
    <row r="41" spans="1:16" ht="31.5" x14ac:dyDescent="0.2">
      <c r="A41" s="122">
        <f t="shared" si="11"/>
        <v>21</v>
      </c>
      <c r="B41" s="166" t="s">
        <v>123</v>
      </c>
      <c r="C41" s="166" t="s">
        <v>126</v>
      </c>
      <c r="D41" s="167" t="s">
        <v>262</v>
      </c>
      <c r="E41" s="168">
        <v>63</v>
      </c>
      <c r="F41" s="164">
        <v>0</v>
      </c>
      <c r="G41" s="163">
        <f t="shared" si="29"/>
        <v>63</v>
      </c>
      <c r="H41" s="6" t="s">
        <v>118</v>
      </c>
      <c r="I41" s="193">
        <v>0.63085714285714301</v>
      </c>
      <c r="J41" s="3">
        <f t="shared" si="30"/>
        <v>39.744000000000007</v>
      </c>
      <c r="K41" s="140">
        <v>78.45</v>
      </c>
      <c r="L41" s="126">
        <f t="shared" si="31"/>
        <v>3117.9168000000009</v>
      </c>
      <c r="M41" s="126">
        <v>58.88000000000001</v>
      </c>
      <c r="N41" s="127">
        <f t="shared" si="32"/>
        <v>3709.4400000000005</v>
      </c>
      <c r="O41" s="165">
        <f t="shared" si="33"/>
        <v>6827.3568000000014</v>
      </c>
      <c r="P41" s="125"/>
    </row>
    <row r="42" spans="1:16" ht="15.75" x14ac:dyDescent="0.2">
      <c r="A42" s="122" t="str">
        <f t="shared" si="11"/>
        <v/>
      </c>
      <c r="B42" s="166"/>
      <c r="C42" s="166"/>
      <c r="D42" s="167" t="s">
        <v>187</v>
      </c>
      <c r="E42" s="168"/>
      <c r="F42" s="164"/>
      <c r="G42" s="163"/>
      <c r="H42" s="6"/>
      <c r="I42" s="193"/>
      <c r="J42" s="3"/>
      <c r="K42" s="161"/>
      <c r="L42" s="126"/>
      <c r="M42" s="126"/>
      <c r="N42" s="127"/>
      <c r="O42" s="165"/>
      <c r="P42" s="125"/>
    </row>
    <row r="43" spans="1:16" ht="31.5" x14ac:dyDescent="0.2">
      <c r="A43" s="122">
        <f t="shared" si="11"/>
        <v>22</v>
      </c>
      <c r="B43" s="166" t="s">
        <v>125</v>
      </c>
      <c r="C43" s="166" t="s">
        <v>127</v>
      </c>
      <c r="D43" s="167" t="s">
        <v>240</v>
      </c>
      <c r="E43" s="168">
        <v>4</v>
      </c>
      <c r="F43" s="164">
        <v>0</v>
      </c>
      <c r="G43" s="163">
        <f t="shared" ref="G43" si="34">E43+(E43*F43)</f>
        <v>4</v>
      </c>
      <c r="H43" s="6" t="s">
        <v>118</v>
      </c>
      <c r="I43" s="193">
        <v>1.79375</v>
      </c>
      <c r="J43" s="3">
        <f t="shared" ref="J43:J56" si="35">I43*G43</f>
        <v>7.1749999999999998</v>
      </c>
      <c r="K43" s="140">
        <v>78.45</v>
      </c>
      <c r="L43" s="126">
        <f t="shared" ref="L43:L56" si="36">K43*J43</f>
        <v>562.87874999999997</v>
      </c>
      <c r="M43" s="126">
        <v>287</v>
      </c>
      <c r="N43" s="127">
        <f t="shared" ref="N43:N56" si="37">M43*G43</f>
        <v>1148</v>
      </c>
      <c r="O43" s="165">
        <f t="shared" ref="O43:O56" si="38">L43+N43</f>
        <v>1710.8787499999999</v>
      </c>
      <c r="P43" s="125"/>
    </row>
    <row r="44" spans="1:16" ht="31.5" x14ac:dyDescent="0.2">
      <c r="A44" s="122">
        <f t="shared" si="11"/>
        <v>23</v>
      </c>
      <c r="B44" s="166" t="s">
        <v>125</v>
      </c>
      <c r="C44" s="166" t="s">
        <v>127</v>
      </c>
      <c r="D44" s="167" t="s">
        <v>241</v>
      </c>
      <c r="E44" s="168">
        <v>6</v>
      </c>
      <c r="F44" s="164">
        <v>0</v>
      </c>
      <c r="G44" s="163">
        <f t="shared" ref="G44" si="39">E44+(E44*F44)</f>
        <v>6</v>
      </c>
      <c r="H44" s="6" t="s">
        <v>118</v>
      </c>
      <c r="I44" s="193">
        <v>0.98442857142857143</v>
      </c>
      <c r="J44" s="3">
        <f t="shared" si="35"/>
        <v>5.9065714285714286</v>
      </c>
      <c r="K44" s="140">
        <v>78.45</v>
      </c>
      <c r="L44" s="126">
        <f t="shared" si="36"/>
        <v>463.37052857142857</v>
      </c>
      <c r="M44" s="126">
        <v>91.88000000000001</v>
      </c>
      <c r="N44" s="127">
        <f t="shared" si="37"/>
        <v>551.28000000000009</v>
      </c>
      <c r="O44" s="165">
        <f t="shared" si="38"/>
        <v>1014.6505285714286</v>
      </c>
      <c r="P44" s="125"/>
    </row>
    <row r="45" spans="1:16" ht="31.5" x14ac:dyDescent="0.2">
      <c r="A45" s="122">
        <f t="shared" si="11"/>
        <v>24</v>
      </c>
      <c r="B45" s="166" t="s">
        <v>125</v>
      </c>
      <c r="C45" s="166" t="s">
        <v>127</v>
      </c>
      <c r="D45" s="167" t="s">
        <v>242</v>
      </c>
      <c r="E45" s="168">
        <v>3</v>
      </c>
      <c r="F45" s="164">
        <v>0</v>
      </c>
      <c r="G45" s="163">
        <f t="shared" ref="G45" si="40">E45+(E45*F45)</f>
        <v>3</v>
      </c>
      <c r="H45" s="6" t="s">
        <v>118</v>
      </c>
      <c r="I45" s="193">
        <v>0.98442857142857143</v>
      </c>
      <c r="J45" s="3">
        <f t="shared" si="35"/>
        <v>2.9532857142857143</v>
      </c>
      <c r="K45" s="140">
        <v>78.45</v>
      </c>
      <c r="L45" s="126">
        <f t="shared" si="36"/>
        <v>231.68526428571428</v>
      </c>
      <c r="M45" s="126">
        <v>91.88000000000001</v>
      </c>
      <c r="N45" s="127">
        <f t="shared" si="37"/>
        <v>275.64000000000004</v>
      </c>
      <c r="O45" s="165">
        <f t="shared" si="38"/>
        <v>507.3252642857143</v>
      </c>
      <c r="P45" s="125"/>
    </row>
    <row r="46" spans="1:16" ht="31.5" x14ac:dyDescent="0.2">
      <c r="A46" s="122">
        <f t="shared" si="11"/>
        <v>25</v>
      </c>
      <c r="B46" s="166" t="s">
        <v>129</v>
      </c>
      <c r="C46" s="166" t="s">
        <v>127</v>
      </c>
      <c r="D46" s="167" t="s">
        <v>243</v>
      </c>
      <c r="E46" s="168">
        <v>9</v>
      </c>
      <c r="F46" s="164">
        <v>0</v>
      </c>
      <c r="G46" s="163">
        <f t="shared" ref="G46:G48" si="41">E46+(E46*F46)</f>
        <v>9</v>
      </c>
      <c r="H46" s="6" t="s">
        <v>118</v>
      </c>
      <c r="I46" s="193">
        <v>0.7202142857142857</v>
      </c>
      <c r="J46" s="3">
        <f t="shared" si="35"/>
        <v>6.481928571428571</v>
      </c>
      <c r="K46" s="140">
        <v>78.45</v>
      </c>
      <c r="L46" s="126">
        <f t="shared" si="36"/>
        <v>508.50729642857141</v>
      </c>
      <c r="M46" s="126">
        <v>67.220000000000013</v>
      </c>
      <c r="N46" s="127">
        <f t="shared" si="37"/>
        <v>604.98000000000013</v>
      </c>
      <c r="O46" s="165">
        <f t="shared" si="38"/>
        <v>1113.4872964285714</v>
      </c>
      <c r="P46" s="125"/>
    </row>
    <row r="47" spans="1:16" ht="31.5" x14ac:dyDescent="0.2">
      <c r="A47" s="122">
        <f t="shared" si="11"/>
        <v>26</v>
      </c>
      <c r="B47" s="166" t="s">
        <v>125</v>
      </c>
      <c r="C47" s="166" t="s">
        <v>127</v>
      </c>
      <c r="D47" s="167" t="s">
        <v>245</v>
      </c>
      <c r="E47" s="168">
        <v>2</v>
      </c>
      <c r="F47" s="164">
        <v>0</v>
      </c>
      <c r="G47" s="163">
        <f t="shared" si="41"/>
        <v>2</v>
      </c>
      <c r="H47" s="6" t="s">
        <v>118</v>
      </c>
      <c r="I47" s="193">
        <v>1.79375</v>
      </c>
      <c r="J47" s="3">
        <f t="shared" si="35"/>
        <v>3.5874999999999999</v>
      </c>
      <c r="K47" s="140">
        <v>78.45</v>
      </c>
      <c r="L47" s="126">
        <f t="shared" si="36"/>
        <v>281.43937499999998</v>
      </c>
      <c r="M47" s="126">
        <v>287</v>
      </c>
      <c r="N47" s="127">
        <f t="shared" si="37"/>
        <v>574</v>
      </c>
      <c r="O47" s="165">
        <f t="shared" si="38"/>
        <v>855.43937499999993</v>
      </c>
      <c r="P47" s="125"/>
    </row>
    <row r="48" spans="1:16" ht="31.5" x14ac:dyDescent="0.2">
      <c r="A48" s="122">
        <f t="shared" si="11"/>
        <v>27</v>
      </c>
      <c r="B48" s="166" t="s">
        <v>128</v>
      </c>
      <c r="C48" s="166" t="s">
        <v>127</v>
      </c>
      <c r="D48" s="167" t="s">
        <v>246</v>
      </c>
      <c r="E48" s="168">
        <v>6</v>
      </c>
      <c r="F48" s="164">
        <v>0</v>
      </c>
      <c r="G48" s="163">
        <f t="shared" si="41"/>
        <v>6</v>
      </c>
      <c r="H48" s="6" t="s">
        <v>118</v>
      </c>
      <c r="I48" s="193">
        <v>1.4083333333333334</v>
      </c>
      <c r="J48" s="3">
        <f t="shared" si="35"/>
        <v>8.4500000000000011</v>
      </c>
      <c r="K48" s="140">
        <v>78.45</v>
      </c>
      <c r="L48" s="126">
        <f t="shared" si="36"/>
        <v>662.90250000000015</v>
      </c>
      <c r="M48" s="126">
        <v>169</v>
      </c>
      <c r="N48" s="127">
        <f t="shared" si="37"/>
        <v>1014</v>
      </c>
      <c r="O48" s="165">
        <f t="shared" si="38"/>
        <v>1676.9025000000001</v>
      </c>
      <c r="P48" s="125"/>
    </row>
    <row r="49" spans="1:16" ht="31.5" x14ac:dyDescent="0.2">
      <c r="A49" s="122">
        <f t="shared" si="11"/>
        <v>28</v>
      </c>
      <c r="B49" s="166" t="s">
        <v>130</v>
      </c>
      <c r="C49" s="166" t="s">
        <v>127</v>
      </c>
      <c r="D49" s="167" t="s">
        <v>270</v>
      </c>
      <c r="E49" s="168">
        <v>20</v>
      </c>
      <c r="F49" s="164">
        <v>0</v>
      </c>
      <c r="G49" s="163">
        <f t="shared" ref="G49" si="42">E49+(E49*F49)</f>
        <v>20</v>
      </c>
      <c r="H49" s="6" t="s">
        <v>118</v>
      </c>
      <c r="I49" s="193">
        <v>1.3746428571428573</v>
      </c>
      <c r="J49" s="3">
        <f t="shared" si="35"/>
        <v>27.492857142857147</v>
      </c>
      <c r="K49" s="140">
        <v>78.45</v>
      </c>
      <c r="L49" s="126">
        <f t="shared" si="36"/>
        <v>2156.8146428571431</v>
      </c>
      <c r="M49" s="126">
        <v>128.30000000000001</v>
      </c>
      <c r="N49" s="127">
        <f t="shared" si="37"/>
        <v>2566</v>
      </c>
      <c r="O49" s="165">
        <f t="shared" si="38"/>
        <v>4722.8146428571436</v>
      </c>
      <c r="P49" s="125"/>
    </row>
    <row r="50" spans="1:16" ht="31.5" x14ac:dyDescent="0.2">
      <c r="A50" s="122">
        <f t="shared" si="11"/>
        <v>29</v>
      </c>
      <c r="B50" s="166" t="s">
        <v>130</v>
      </c>
      <c r="C50" s="166" t="s">
        <v>127</v>
      </c>
      <c r="D50" s="167" t="s">
        <v>247</v>
      </c>
      <c r="E50" s="168">
        <v>11</v>
      </c>
      <c r="F50" s="164">
        <v>0</v>
      </c>
      <c r="G50" s="163">
        <f t="shared" ref="G50" si="43">E50+(E50*F50)</f>
        <v>11</v>
      </c>
      <c r="H50" s="6" t="s">
        <v>118</v>
      </c>
      <c r="I50" s="193">
        <v>0.67157142857142849</v>
      </c>
      <c r="J50" s="3">
        <f t="shared" si="35"/>
        <v>7.3872857142857136</v>
      </c>
      <c r="K50" s="140">
        <v>78.45</v>
      </c>
      <c r="L50" s="126">
        <f t="shared" si="36"/>
        <v>579.53256428571422</v>
      </c>
      <c r="M50" s="126">
        <v>62.680000000000007</v>
      </c>
      <c r="N50" s="127">
        <f t="shared" si="37"/>
        <v>689.48</v>
      </c>
      <c r="O50" s="165">
        <f t="shared" si="38"/>
        <v>1269.0125642857142</v>
      </c>
      <c r="P50" s="125"/>
    </row>
    <row r="51" spans="1:16" ht="31.5" x14ac:dyDescent="0.2">
      <c r="A51" s="122">
        <f t="shared" si="11"/>
        <v>30</v>
      </c>
      <c r="B51" s="166" t="s">
        <v>128</v>
      </c>
      <c r="C51" s="166" t="s">
        <v>127</v>
      </c>
      <c r="D51" s="167" t="s">
        <v>248</v>
      </c>
      <c r="E51" s="168">
        <v>1</v>
      </c>
      <c r="F51" s="164">
        <v>0</v>
      </c>
      <c r="G51" s="163">
        <f t="shared" ref="G51" si="44">E51+(E51*F51)</f>
        <v>1</v>
      </c>
      <c r="H51" s="6" t="s">
        <v>118</v>
      </c>
      <c r="I51" s="193">
        <v>0.77035714285714296</v>
      </c>
      <c r="J51" s="3">
        <f t="shared" si="35"/>
        <v>0.77035714285714296</v>
      </c>
      <c r="K51" s="140">
        <v>78.45</v>
      </c>
      <c r="L51" s="126">
        <f t="shared" si="36"/>
        <v>60.434517857142865</v>
      </c>
      <c r="M51" s="126">
        <v>71.900000000000006</v>
      </c>
      <c r="N51" s="127">
        <f t="shared" si="37"/>
        <v>71.900000000000006</v>
      </c>
      <c r="O51" s="165">
        <f t="shared" si="38"/>
        <v>132.33451785714288</v>
      </c>
      <c r="P51" s="125"/>
    </row>
    <row r="52" spans="1:16" ht="31.5" x14ac:dyDescent="0.2">
      <c r="A52" s="122">
        <f t="shared" si="11"/>
        <v>31</v>
      </c>
      <c r="B52" s="166" t="s">
        <v>128</v>
      </c>
      <c r="C52" s="166" t="s">
        <v>127</v>
      </c>
      <c r="D52" s="167" t="s">
        <v>249</v>
      </c>
      <c r="E52" s="168">
        <v>2</v>
      </c>
      <c r="F52" s="164">
        <v>0</v>
      </c>
      <c r="G52" s="163">
        <f t="shared" ref="G52" si="45">E52+(E52*F52)</f>
        <v>2</v>
      </c>
      <c r="H52" s="6" t="s">
        <v>118</v>
      </c>
      <c r="I52" s="193">
        <v>0.28799999999999998</v>
      </c>
      <c r="J52" s="3">
        <f t="shared" si="35"/>
        <v>0.57599999999999996</v>
      </c>
      <c r="K52" s="140">
        <v>78.45</v>
      </c>
      <c r="L52" s="126">
        <f t="shared" si="36"/>
        <v>45.187199999999997</v>
      </c>
      <c r="M52" s="126">
        <v>26.88</v>
      </c>
      <c r="N52" s="127">
        <f t="shared" si="37"/>
        <v>53.76</v>
      </c>
      <c r="O52" s="165">
        <f t="shared" si="38"/>
        <v>98.947199999999995</v>
      </c>
      <c r="P52" s="125"/>
    </row>
    <row r="53" spans="1:16" ht="31.5" x14ac:dyDescent="0.2">
      <c r="A53" s="122">
        <f t="shared" si="11"/>
        <v>32</v>
      </c>
      <c r="B53" s="166" t="s">
        <v>130</v>
      </c>
      <c r="C53" s="166" t="s">
        <v>127</v>
      </c>
      <c r="D53" s="167" t="s">
        <v>250</v>
      </c>
      <c r="E53" s="168">
        <v>3</v>
      </c>
      <c r="F53" s="164">
        <v>0</v>
      </c>
      <c r="G53" s="163">
        <f t="shared" ref="G53" si="46">E53+(E53*F53)</f>
        <v>3</v>
      </c>
      <c r="H53" s="6" t="s">
        <v>118</v>
      </c>
      <c r="I53" s="193">
        <v>0.18085714285714286</v>
      </c>
      <c r="J53" s="3">
        <f t="shared" si="35"/>
        <v>0.54257142857142859</v>
      </c>
      <c r="K53" s="140">
        <v>78.45</v>
      </c>
      <c r="L53" s="126">
        <f t="shared" si="36"/>
        <v>42.564728571428574</v>
      </c>
      <c r="M53" s="126">
        <v>16.88</v>
      </c>
      <c r="N53" s="127">
        <f t="shared" si="37"/>
        <v>50.64</v>
      </c>
      <c r="O53" s="165">
        <f t="shared" si="38"/>
        <v>93.204728571428575</v>
      </c>
      <c r="P53" s="125"/>
    </row>
    <row r="54" spans="1:16" ht="18" customHeight="1" x14ac:dyDescent="0.2">
      <c r="A54" s="122">
        <f t="shared" si="11"/>
        <v>33</v>
      </c>
      <c r="B54" s="166" t="s">
        <v>124</v>
      </c>
      <c r="C54" s="166" t="s">
        <v>141</v>
      </c>
      <c r="D54" s="167" t="s">
        <v>251</v>
      </c>
      <c r="E54" s="168">
        <v>6</v>
      </c>
      <c r="F54" s="164">
        <v>0</v>
      </c>
      <c r="G54" s="163">
        <f t="shared" ref="G54" si="47">E54+(E54*F54)</f>
        <v>6</v>
      </c>
      <c r="H54" s="6" t="s">
        <v>118</v>
      </c>
      <c r="I54" s="193">
        <v>0.53674999999999995</v>
      </c>
      <c r="J54" s="3">
        <f t="shared" si="35"/>
        <v>3.2204999999999995</v>
      </c>
      <c r="K54" s="140">
        <v>78.45</v>
      </c>
      <c r="L54" s="126">
        <f t="shared" si="36"/>
        <v>252.64822499999997</v>
      </c>
      <c r="M54" s="126">
        <v>85.88</v>
      </c>
      <c r="N54" s="127">
        <f t="shared" si="37"/>
        <v>515.28</v>
      </c>
      <c r="O54" s="165">
        <f t="shared" si="38"/>
        <v>767.92822499999988</v>
      </c>
      <c r="P54" s="125"/>
    </row>
    <row r="55" spans="1:16" ht="18" customHeight="1" x14ac:dyDescent="0.2">
      <c r="A55" s="122">
        <f t="shared" si="11"/>
        <v>34</v>
      </c>
      <c r="B55" s="166" t="s">
        <v>124</v>
      </c>
      <c r="C55" s="166" t="s">
        <v>141</v>
      </c>
      <c r="D55" s="167" t="s">
        <v>195</v>
      </c>
      <c r="E55" s="168">
        <v>6</v>
      </c>
      <c r="F55" s="164">
        <v>0</v>
      </c>
      <c r="G55" s="163">
        <f t="shared" ref="G55" si="48">E55+(E55*F55)</f>
        <v>6</v>
      </c>
      <c r="H55" s="6" t="s">
        <v>118</v>
      </c>
      <c r="I55" s="193">
        <v>1.1331250000000002</v>
      </c>
      <c r="J55" s="3">
        <f t="shared" si="35"/>
        <v>6.798750000000001</v>
      </c>
      <c r="K55" s="140">
        <v>78.45</v>
      </c>
      <c r="L55" s="126">
        <f t="shared" si="36"/>
        <v>533.36193750000007</v>
      </c>
      <c r="M55" s="126">
        <v>181.3</v>
      </c>
      <c r="N55" s="127">
        <f t="shared" si="37"/>
        <v>1087.8000000000002</v>
      </c>
      <c r="O55" s="165">
        <f t="shared" si="38"/>
        <v>1621.1619375000002</v>
      </c>
      <c r="P55" s="125"/>
    </row>
    <row r="56" spans="1:16" ht="18" customHeight="1" x14ac:dyDescent="0.2">
      <c r="A56" s="122">
        <f t="shared" si="11"/>
        <v>35</v>
      </c>
      <c r="B56" s="166" t="s">
        <v>133</v>
      </c>
      <c r="C56" s="166" t="s">
        <v>133</v>
      </c>
      <c r="D56" s="167" t="s">
        <v>244</v>
      </c>
      <c r="E56" s="168">
        <v>75</v>
      </c>
      <c r="F56" s="164">
        <v>0</v>
      </c>
      <c r="G56" s="163">
        <f t="shared" ref="G56" si="49">E56+(E56*F56)</f>
        <v>75</v>
      </c>
      <c r="H56" s="6" t="s">
        <v>118</v>
      </c>
      <c r="I56" s="193">
        <v>0.26250000000000001</v>
      </c>
      <c r="J56" s="3">
        <f t="shared" si="35"/>
        <v>19.6875</v>
      </c>
      <c r="K56" s="140">
        <v>78.45</v>
      </c>
      <c r="L56" s="126">
        <f t="shared" si="36"/>
        <v>1544.484375</v>
      </c>
      <c r="M56" s="126">
        <v>24.5</v>
      </c>
      <c r="N56" s="127">
        <f t="shared" si="37"/>
        <v>1837.5</v>
      </c>
      <c r="O56" s="165">
        <f t="shared" si="38"/>
        <v>3381.984375</v>
      </c>
      <c r="P56" s="125"/>
    </row>
    <row r="57" spans="1:16" ht="15.75" x14ac:dyDescent="0.2">
      <c r="A57" s="122" t="str">
        <f t="shared" si="11"/>
        <v/>
      </c>
      <c r="B57" s="166"/>
      <c r="C57" s="166"/>
      <c r="D57" s="167"/>
      <c r="E57" s="168"/>
      <c r="F57" s="164"/>
      <c r="G57" s="163"/>
      <c r="H57" s="6"/>
      <c r="I57" s="193"/>
      <c r="J57" s="3"/>
      <c r="K57" s="161"/>
      <c r="L57" s="143"/>
      <c r="M57" s="143"/>
      <c r="N57" s="162"/>
      <c r="O57" s="165"/>
      <c r="P57" s="125"/>
    </row>
    <row r="58" spans="1:16" ht="18.75" x14ac:dyDescent="0.2">
      <c r="A58" s="122" t="str">
        <f t="shared" si="11"/>
        <v/>
      </c>
      <c r="B58" s="166"/>
      <c r="C58" s="166"/>
      <c r="D58" s="169" t="s">
        <v>132</v>
      </c>
      <c r="E58" s="168"/>
      <c r="F58" s="164"/>
      <c r="G58" s="163"/>
      <c r="H58" s="6"/>
      <c r="I58" s="193"/>
      <c r="J58" s="3"/>
      <c r="K58" s="161"/>
      <c r="L58" s="143"/>
      <c r="M58" s="143"/>
      <c r="N58" s="162"/>
      <c r="O58" s="165"/>
      <c r="P58" s="125"/>
    </row>
    <row r="59" spans="1:16" ht="31.5" x14ac:dyDescent="0.2">
      <c r="A59" s="122">
        <f t="shared" si="11"/>
        <v>36</v>
      </c>
      <c r="B59" s="166" t="s">
        <v>131</v>
      </c>
      <c r="C59" s="166" t="s">
        <v>131</v>
      </c>
      <c r="D59" s="167" t="s">
        <v>252</v>
      </c>
      <c r="E59" s="168">
        <v>395</v>
      </c>
      <c r="F59" s="164">
        <v>0.05</v>
      </c>
      <c r="G59" s="163">
        <f t="shared" ref="G59:G70" si="50">E59+(E59*F59)</f>
        <v>414.75</v>
      </c>
      <c r="H59" s="6" t="s">
        <v>119</v>
      </c>
      <c r="I59" s="193">
        <v>2.7000000000000003E-2</v>
      </c>
      <c r="J59" s="3">
        <f t="shared" ref="J59:J77" si="51">I59*G59</f>
        <v>11.198250000000002</v>
      </c>
      <c r="K59" s="140">
        <v>78.45</v>
      </c>
      <c r="L59" s="126">
        <f t="shared" ref="L59:L77" si="52">K59*J59</f>
        <v>878.50271250000014</v>
      </c>
      <c r="M59" s="126">
        <v>2.52</v>
      </c>
      <c r="N59" s="127">
        <f t="shared" ref="N59:N77" si="53">M59*G59</f>
        <v>1045.17</v>
      </c>
      <c r="O59" s="165">
        <f t="shared" ref="O59:O77" si="54">L59+N59</f>
        <v>1923.6727125000002</v>
      </c>
      <c r="P59" s="125"/>
    </row>
    <row r="60" spans="1:16" ht="31.5" x14ac:dyDescent="0.2">
      <c r="A60" s="122">
        <f t="shared" si="11"/>
        <v>37</v>
      </c>
      <c r="B60" s="166" t="s">
        <v>131</v>
      </c>
      <c r="C60" s="166" t="s">
        <v>131</v>
      </c>
      <c r="D60" s="167" t="s">
        <v>253</v>
      </c>
      <c r="E60" s="168">
        <v>150</v>
      </c>
      <c r="F60" s="164">
        <v>0.05</v>
      </c>
      <c r="G60" s="163">
        <f t="shared" ref="G60" si="55">E60+(E60*F60)</f>
        <v>157.5</v>
      </c>
      <c r="H60" s="6" t="s">
        <v>119</v>
      </c>
      <c r="I60" s="193">
        <v>3.3749999999999995E-2</v>
      </c>
      <c r="J60" s="3">
        <f t="shared" si="51"/>
        <v>5.3156249999999989</v>
      </c>
      <c r="K60" s="140">
        <v>78.45</v>
      </c>
      <c r="L60" s="126">
        <f t="shared" si="52"/>
        <v>417.01078124999992</v>
      </c>
      <c r="M60" s="126">
        <v>3.1500000000000004</v>
      </c>
      <c r="N60" s="127">
        <f t="shared" si="53"/>
        <v>496.12500000000006</v>
      </c>
      <c r="O60" s="165">
        <f t="shared" si="54"/>
        <v>913.13578125000004</v>
      </c>
      <c r="P60" s="125"/>
    </row>
    <row r="61" spans="1:16" ht="31.5" x14ac:dyDescent="0.2">
      <c r="A61" s="122">
        <f t="shared" si="11"/>
        <v>38</v>
      </c>
      <c r="B61" s="166" t="s">
        <v>129</v>
      </c>
      <c r="C61" s="166" t="s">
        <v>129</v>
      </c>
      <c r="D61" s="167" t="s">
        <v>196</v>
      </c>
      <c r="E61" s="168">
        <v>320</v>
      </c>
      <c r="F61" s="164">
        <v>0.05</v>
      </c>
      <c r="G61" s="163">
        <f t="shared" si="50"/>
        <v>336</v>
      </c>
      <c r="H61" s="6" t="s">
        <v>119</v>
      </c>
      <c r="I61" s="193">
        <v>0.12375</v>
      </c>
      <c r="J61" s="3">
        <f t="shared" si="51"/>
        <v>41.58</v>
      </c>
      <c r="K61" s="140">
        <v>78.45</v>
      </c>
      <c r="L61" s="126">
        <f t="shared" si="52"/>
        <v>3261.951</v>
      </c>
      <c r="M61" s="126">
        <v>11.55</v>
      </c>
      <c r="N61" s="127">
        <f t="shared" si="53"/>
        <v>3880.8</v>
      </c>
      <c r="O61" s="165">
        <f t="shared" si="54"/>
        <v>7142.7510000000002</v>
      </c>
      <c r="P61" s="125"/>
    </row>
    <row r="62" spans="1:16" ht="18" customHeight="1" x14ac:dyDescent="0.2">
      <c r="A62" s="122">
        <f t="shared" si="11"/>
        <v>39</v>
      </c>
      <c r="B62" s="166" t="s">
        <v>128</v>
      </c>
      <c r="C62" s="166" t="s">
        <v>128</v>
      </c>
      <c r="D62" s="167" t="s">
        <v>197</v>
      </c>
      <c r="E62" s="168">
        <v>116</v>
      </c>
      <c r="F62" s="164">
        <v>0.05</v>
      </c>
      <c r="G62" s="163">
        <f t="shared" si="50"/>
        <v>121.8</v>
      </c>
      <c r="H62" s="6" t="s">
        <v>119</v>
      </c>
      <c r="I62" s="193">
        <v>0.14624999999999999</v>
      </c>
      <c r="J62" s="3">
        <f t="shared" si="51"/>
        <v>17.81325</v>
      </c>
      <c r="K62" s="140">
        <v>78.45</v>
      </c>
      <c r="L62" s="126">
        <f t="shared" si="52"/>
        <v>1397.4494625</v>
      </c>
      <c r="M62" s="126">
        <v>13.65</v>
      </c>
      <c r="N62" s="127">
        <f t="shared" si="53"/>
        <v>1662.57</v>
      </c>
      <c r="O62" s="165">
        <f t="shared" si="54"/>
        <v>3060.0194624999999</v>
      </c>
      <c r="P62" s="125"/>
    </row>
    <row r="63" spans="1:16" ht="18" customHeight="1" x14ac:dyDescent="0.2">
      <c r="A63" s="122">
        <f t="shared" si="11"/>
        <v>40</v>
      </c>
      <c r="B63" s="166" t="s">
        <v>128</v>
      </c>
      <c r="C63" s="166" t="s">
        <v>128</v>
      </c>
      <c r="D63" s="167" t="s">
        <v>198</v>
      </c>
      <c r="E63" s="168">
        <v>63</v>
      </c>
      <c r="F63" s="164">
        <v>0.05</v>
      </c>
      <c r="G63" s="163">
        <f t="shared" si="50"/>
        <v>66.150000000000006</v>
      </c>
      <c r="H63" s="6" t="s">
        <v>119</v>
      </c>
      <c r="I63" s="193">
        <v>0.13387500000000002</v>
      </c>
      <c r="J63" s="3">
        <f t="shared" si="51"/>
        <v>8.8558312500000014</v>
      </c>
      <c r="K63" s="140">
        <v>78.45</v>
      </c>
      <c r="L63" s="126">
        <f t="shared" si="52"/>
        <v>694.73996156250018</v>
      </c>
      <c r="M63" s="126">
        <v>12.495000000000001</v>
      </c>
      <c r="N63" s="127">
        <f t="shared" si="53"/>
        <v>826.54425000000015</v>
      </c>
      <c r="O63" s="165">
        <f t="shared" si="54"/>
        <v>1521.2842115625003</v>
      </c>
      <c r="P63" s="125"/>
    </row>
    <row r="64" spans="1:16" ht="18" customHeight="1" x14ac:dyDescent="0.2">
      <c r="A64" s="122">
        <f t="shared" si="11"/>
        <v>41</v>
      </c>
      <c r="B64" s="166" t="s">
        <v>128</v>
      </c>
      <c r="C64" s="166" t="s">
        <v>128</v>
      </c>
      <c r="D64" s="167" t="s">
        <v>199</v>
      </c>
      <c r="E64" s="168">
        <v>52</v>
      </c>
      <c r="F64" s="164">
        <v>0.05</v>
      </c>
      <c r="G64" s="163">
        <f t="shared" si="50"/>
        <v>54.6</v>
      </c>
      <c r="H64" s="6" t="s">
        <v>119</v>
      </c>
      <c r="I64" s="193">
        <v>0.15937499999999999</v>
      </c>
      <c r="J64" s="3">
        <f t="shared" si="51"/>
        <v>8.7018749999999994</v>
      </c>
      <c r="K64" s="140">
        <v>78.45</v>
      </c>
      <c r="L64" s="126">
        <f t="shared" si="52"/>
        <v>682.66209374999994</v>
      </c>
      <c r="M64" s="126">
        <v>14.875</v>
      </c>
      <c r="N64" s="127">
        <f t="shared" si="53"/>
        <v>812.17500000000007</v>
      </c>
      <c r="O64" s="165">
        <f t="shared" si="54"/>
        <v>1494.8370937499999</v>
      </c>
      <c r="P64" s="125"/>
    </row>
    <row r="65" spans="1:16" ht="18" customHeight="1" x14ac:dyDescent="0.2">
      <c r="A65" s="122">
        <f t="shared" si="11"/>
        <v>42</v>
      </c>
      <c r="B65" s="166" t="s">
        <v>128</v>
      </c>
      <c r="C65" s="166" t="s">
        <v>128</v>
      </c>
      <c r="D65" s="167" t="s">
        <v>200</v>
      </c>
      <c r="E65" s="168">
        <v>26</v>
      </c>
      <c r="F65" s="164">
        <v>0.05</v>
      </c>
      <c r="G65" s="163">
        <f t="shared" si="50"/>
        <v>27.3</v>
      </c>
      <c r="H65" s="6" t="s">
        <v>119</v>
      </c>
      <c r="I65" s="193">
        <v>0.11887499999999999</v>
      </c>
      <c r="J65" s="3">
        <f t="shared" si="51"/>
        <v>3.2452874999999999</v>
      </c>
      <c r="K65" s="140">
        <v>78.45</v>
      </c>
      <c r="L65" s="126">
        <f t="shared" si="52"/>
        <v>254.59280437499999</v>
      </c>
      <c r="M65" s="126">
        <v>11.094999999999999</v>
      </c>
      <c r="N65" s="127">
        <f t="shared" si="53"/>
        <v>302.89349999999996</v>
      </c>
      <c r="O65" s="165">
        <f t="shared" si="54"/>
        <v>557.48630437499992</v>
      </c>
      <c r="P65" s="125"/>
    </row>
    <row r="66" spans="1:16" ht="18" customHeight="1" x14ac:dyDescent="0.2">
      <c r="A66" s="122">
        <f t="shared" si="11"/>
        <v>43</v>
      </c>
      <c r="B66" s="166" t="s">
        <v>128</v>
      </c>
      <c r="C66" s="166" t="s">
        <v>128</v>
      </c>
      <c r="D66" s="167" t="s">
        <v>201</v>
      </c>
      <c r="E66" s="168">
        <v>27</v>
      </c>
      <c r="F66" s="164">
        <v>0.05</v>
      </c>
      <c r="G66" s="163">
        <f t="shared" si="50"/>
        <v>28.35</v>
      </c>
      <c r="H66" s="6" t="s">
        <v>119</v>
      </c>
      <c r="I66" s="193">
        <v>7.1250000000000008E-2</v>
      </c>
      <c r="J66" s="3">
        <f t="shared" si="51"/>
        <v>2.0199375000000002</v>
      </c>
      <c r="K66" s="140">
        <v>78.45</v>
      </c>
      <c r="L66" s="126">
        <f t="shared" si="52"/>
        <v>158.46409687500002</v>
      </c>
      <c r="M66" s="126">
        <v>6.65</v>
      </c>
      <c r="N66" s="127">
        <f t="shared" si="53"/>
        <v>188.52750000000003</v>
      </c>
      <c r="O66" s="165">
        <f t="shared" si="54"/>
        <v>346.99159687500003</v>
      </c>
      <c r="P66" s="125"/>
    </row>
    <row r="67" spans="1:16" ht="18" customHeight="1" x14ac:dyDescent="0.2">
      <c r="A67" s="122">
        <f t="shared" si="11"/>
        <v>44</v>
      </c>
      <c r="B67" s="166" t="s">
        <v>124</v>
      </c>
      <c r="C67" s="166" t="s">
        <v>124</v>
      </c>
      <c r="D67" s="167" t="s">
        <v>202</v>
      </c>
      <c r="E67" s="168">
        <v>40</v>
      </c>
      <c r="F67" s="164">
        <v>0.05</v>
      </c>
      <c r="G67" s="163">
        <f t="shared" ref="G67" si="56">E67+(E67*F67)</f>
        <v>42</v>
      </c>
      <c r="H67" s="6" t="s">
        <v>119</v>
      </c>
      <c r="I67" s="193">
        <v>7.1250000000000008E-2</v>
      </c>
      <c r="J67" s="3">
        <f t="shared" si="51"/>
        <v>2.9925000000000002</v>
      </c>
      <c r="K67" s="140">
        <v>78.45</v>
      </c>
      <c r="L67" s="126">
        <f t="shared" si="52"/>
        <v>234.76162500000001</v>
      </c>
      <c r="M67" s="126">
        <v>6.65</v>
      </c>
      <c r="N67" s="127">
        <f t="shared" si="53"/>
        <v>279.3</v>
      </c>
      <c r="O67" s="165">
        <f t="shared" si="54"/>
        <v>514.06162500000005</v>
      </c>
      <c r="P67" s="125"/>
    </row>
    <row r="68" spans="1:16" ht="18" customHeight="1" x14ac:dyDescent="0.2">
      <c r="A68" s="122">
        <f t="shared" si="11"/>
        <v>45</v>
      </c>
      <c r="B68" s="166" t="s">
        <v>128</v>
      </c>
      <c r="C68" s="166" t="s">
        <v>128</v>
      </c>
      <c r="D68" s="167" t="s">
        <v>203</v>
      </c>
      <c r="E68" s="168">
        <v>96</v>
      </c>
      <c r="F68" s="164">
        <v>0.05</v>
      </c>
      <c r="G68" s="163">
        <f t="shared" si="50"/>
        <v>100.8</v>
      </c>
      <c r="H68" s="6" t="s">
        <v>119</v>
      </c>
      <c r="I68" s="193">
        <v>7.8750000000000001E-2</v>
      </c>
      <c r="J68" s="3">
        <f t="shared" si="51"/>
        <v>7.9379999999999997</v>
      </c>
      <c r="K68" s="140">
        <v>78.45</v>
      </c>
      <c r="L68" s="126">
        <f t="shared" si="52"/>
        <v>622.73609999999996</v>
      </c>
      <c r="M68" s="126">
        <v>7.35</v>
      </c>
      <c r="N68" s="127">
        <f t="shared" si="53"/>
        <v>740.88</v>
      </c>
      <c r="O68" s="165">
        <f t="shared" si="54"/>
        <v>1363.6161</v>
      </c>
      <c r="P68" s="125"/>
    </row>
    <row r="69" spans="1:16" ht="18" customHeight="1" x14ac:dyDescent="0.2">
      <c r="A69" s="122">
        <f t="shared" si="11"/>
        <v>46</v>
      </c>
      <c r="B69" s="166" t="s">
        <v>134</v>
      </c>
      <c r="C69" s="166" t="s">
        <v>134</v>
      </c>
      <c r="D69" s="167" t="s">
        <v>204</v>
      </c>
      <c r="E69" s="168">
        <v>42</v>
      </c>
      <c r="F69" s="164">
        <v>0.05</v>
      </c>
      <c r="G69" s="163">
        <f t="shared" si="50"/>
        <v>44.1</v>
      </c>
      <c r="H69" s="6" t="s">
        <v>119</v>
      </c>
      <c r="I69" s="193">
        <v>7.4999999999999997E-2</v>
      </c>
      <c r="J69" s="3">
        <f t="shared" si="51"/>
        <v>3.3075000000000001</v>
      </c>
      <c r="K69" s="140">
        <v>78.45</v>
      </c>
      <c r="L69" s="126">
        <f t="shared" si="52"/>
        <v>259.47337500000003</v>
      </c>
      <c r="M69" s="126">
        <v>7</v>
      </c>
      <c r="N69" s="127">
        <f t="shared" si="53"/>
        <v>308.7</v>
      </c>
      <c r="O69" s="165">
        <f t="shared" si="54"/>
        <v>568.17337500000008</v>
      </c>
      <c r="P69" s="125"/>
    </row>
    <row r="70" spans="1:16" ht="18" customHeight="1" x14ac:dyDescent="0.2">
      <c r="A70" s="122">
        <f t="shared" si="11"/>
        <v>47</v>
      </c>
      <c r="B70" s="166" t="s">
        <v>130</v>
      </c>
      <c r="C70" s="166" t="s">
        <v>130</v>
      </c>
      <c r="D70" s="167" t="s">
        <v>205</v>
      </c>
      <c r="E70" s="168">
        <v>31</v>
      </c>
      <c r="F70" s="164">
        <v>0.05</v>
      </c>
      <c r="G70" s="163">
        <f t="shared" si="50"/>
        <v>32.549999999999997</v>
      </c>
      <c r="H70" s="6" t="s">
        <v>119</v>
      </c>
      <c r="I70" s="193">
        <v>6.7499999999999991E-2</v>
      </c>
      <c r="J70" s="3">
        <f t="shared" si="51"/>
        <v>2.1971249999999993</v>
      </c>
      <c r="K70" s="140">
        <v>78.45</v>
      </c>
      <c r="L70" s="126">
        <f t="shared" si="52"/>
        <v>172.36445624999996</v>
      </c>
      <c r="M70" s="126">
        <v>6.3000000000000007</v>
      </c>
      <c r="N70" s="127">
        <f t="shared" si="53"/>
        <v>205.065</v>
      </c>
      <c r="O70" s="165">
        <f t="shared" si="54"/>
        <v>377.42945624999993</v>
      </c>
      <c r="P70" s="125"/>
    </row>
    <row r="71" spans="1:16" ht="18" customHeight="1" x14ac:dyDescent="0.2">
      <c r="A71" s="122">
        <f t="shared" si="11"/>
        <v>48</v>
      </c>
      <c r="B71" s="166" t="s">
        <v>128</v>
      </c>
      <c r="C71" s="166" t="s">
        <v>128</v>
      </c>
      <c r="D71" s="167" t="s">
        <v>206</v>
      </c>
      <c r="E71" s="168">
        <v>35</v>
      </c>
      <c r="F71" s="164">
        <v>0.05</v>
      </c>
      <c r="G71" s="163">
        <f t="shared" ref="G71" si="57">E71+(E71*F71)</f>
        <v>36.75</v>
      </c>
      <c r="H71" s="6" t="s">
        <v>119</v>
      </c>
      <c r="I71" s="193">
        <v>6.3750000000000001E-2</v>
      </c>
      <c r="J71" s="3">
        <f t="shared" si="51"/>
        <v>2.3428125</v>
      </c>
      <c r="K71" s="140">
        <v>78.45</v>
      </c>
      <c r="L71" s="126">
        <f t="shared" si="52"/>
        <v>183.79364062499999</v>
      </c>
      <c r="M71" s="126">
        <v>5.95</v>
      </c>
      <c r="N71" s="127">
        <f t="shared" si="53"/>
        <v>218.66249999999999</v>
      </c>
      <c r="O71" s="165">
        <f t="shared" si="54"/>
        <v>402.45614062499999</v>
      </c>
      <c r="P71" s="125"/>
    </row>
    <row r="72" spans="1:16" ht="18" customHeight="1" x14ac:dyDescent="0.2">
      <c r="A72" s="122">
        <f t="shared" si="11"/>
        <v>49</v>
      </c>
      <c r="B72" s="166" t="s">
        <v>133</v>
      </c>
      <c r="C72" s="166" t="s">
        <v>133</v>
      </c>
      <c r="D72" s="167" t="s">
        <v>207</v>
      </c>
      <c r="E72" s="168">
        <v>88</v>
      </c>
      <c r="F72" s="164">
        <v>0.05</v>
      </c>
      <c r="G72" s="163">
        <f t="shared" ref="G72" si="58">E72+(E72*F72)</f>
        <v>92.4</v>
      </c>
      <c r="H72" s="6" t="s">
        <v>119</v>
      </c>
      <c r="I72" s="193">
        <v>0.06</v>
      </c>
      <c r="J72" s="3">
        <f t="shared" si="51"/>
        <v>5.5440000000000005</v>
      </c>
      <c r="K72" s="140">
        <v>78.45</v>
      </c>
      <c r="L72" s="126">
        <f t="shared" si="52"/>
        <v>434.92680000000007</v>
      </c>
      <c r="M72" s="126">
        <v>5.6</v>
      </c>
      <c r="N72" s="127">
        <f t="shared" si="53"/>
        <v>517.44000000000005</v>
      </c>
      <c r="O72" s="165">
        <f t="shared" si="54"/>
        <v>952.36680000000013</v>
      </c>
      <c r="P72" s="125"/>
    </row>
    <row r="73" spans="1:16" ht="18" customHeight="1" x14ac:dyDescent="0.2">
      <c r="A73" s="122">
        <f t="shared" si="11"/>
        <v>50</v>
      </c>
      <c r="B73" s="166" t="s">
        <v>130</v>
      </c>
      <c r="C73" s="166" t="s">
        <v>169</v>
      </c>
      <c r="D73" s="167" t="s">
        <v>208</v>
      </c>
      <c r="E73" s="168">
        <v>180</v>
      </c>
      <c r="F73" s="164">
        <v>0.05</v>
      </c>
      <c r="G73" s="163">
        <f t="shared" ref="G73" si="59">E73+(E73*F73)</f>
        <v>189</v>
      </c>
      <c r="H73" s="6" t="s">
        <v>119</v>
      </c>
      <c r="I73" s="193">
        <v>2.5500000000000002E-2</v>
      </c>
      <c r="J73" s="3">
        <f t="shared" si="51"/>
        <v>4.8195000000000006</v>
      </c>
      <c r="K73" s="140">
        <v>78.45</v>
      </c>
      <c r="L73" s="126">
        <f t="shared" si="52"/>
        <v>378.08977500000003</v>
      </c>
      <c r="M73" s="126">
        <v>2.38</v>
      </c>
      <c r="N73" s="127">
        <f t="shared" si="53"/>
        <v>449.82</v>
      </c>
      <c r="O73" s="165">
        <f t="shared" si="54"/>
        <v>827.90977500000008</v>
      </c>
      <c r="P73" s="125"/>
    </row>
    <row r="74" spans="1:16" ht="18" customHeight="1" x14ac:dyDescent="0.2">
      <c r="A74" s="122">
        <f t="shared" si="11"/>
        <v>51</v>
      </c>
      <c r="B74" s="166" t="s">
        <v>130</v>
      </c>
      <c r="C74" s="166" t="s">
        <v>169</v>
      </c>
      <c r="D74" s="167" t="s">
        <v>209</v>
      </c>
      <c r="E74" s="168">
        <f>180+215</f>
        <v>395</v>
      </c>
      <c r="F74" s="164">
        <v>0.05</v>
      </c>
      <c r="G74" s="163">
        <f t="shared" ref="G74" si="60">E74+(E74*F74)</f>
        <v>414.75</v>
      </c>
      <c r="H74" s="6" t="s">
        <v>119</v>
      </c>
      <c r="I74" s="193">
        <v>2.2499999999999999E-2</v>
      </c>
      <c r="J74" s="3">
        <f t="shared" si="51"/>
        <v>9.3318750000000001</v>
      </c>
      <c r="K74" s="140">
        <v>78.45</v>
      </c>
      <c r="L74" s="126">
        <f t="shared" si="52"/>
        <v>732.08559375000004</v>
      </c>
      <c r="M74" s="126">
        <v>2.1</v>
      </c>
      <c r="N74" s="127">
        <f t="shared" si="53"/>
        <v>870.97500000000002</v>
      </c>
      <c r="O74" s="165">
        <f t="shared" si="54"/>
        <v>1603.06059375</v>
      </c>
      <c r="P74" s="125"/>
    </row>
    <row r="75" spans="1:16" ht="18" customHeight="1" x14ac:dyDescent="0.2">
      <c r="A75" s="122">
        <f t="shared" si="11"/>
        <v>52</v>
      </c>
      <c r="B75" s="166" t="s">
        <v>130</v>
      </c>
      <c r="C75" s="166" t="s">
        <v>169</v>
      </c>
      <c r="D75" s="167" t="s">
        <v>210</v>
      </c>
      <c r="E75" s="168">
        <v>190</v>
      </c>
      <c r="F75" s="164">
        <v>0.05</v>
      </c>
      <c r="G75" s="163">
        <f t="shared" ref="G75" si="61">E75+(E75*F75)</f>
        <v>199.5</v>
      </c>
      <c r="H75" s="6" t="s">
        <v>119</v>
      </c>
      <c r="I75" s="193">
        <v>2.5500000000000002E-2</v>
      </c>
      <c r="J75" s="3">
        <f t="shared" si="51"/>
        <v>5.08725</v>
      </c>
      <c r="K75" s="140">
        <v>78.45</v>
      </c>
      <c r="L75" s="126">
        <f t="shared" si="52"/>
        <v>399.0947625</v>
      </c>
      <c r="M75" s="126">
        <v>2.38</v>
      </c>
      <c r="N75" s="127">
        <f t="shared" si="53"/>
        <v>474.81</v>
      </c>
      <c r="O75" s="165">
        <f t="shared" si="54"/>
        <v>873.90476250000006</v>
      </c>
      <c r="P75" s="125"/>
    </row>
    <row r="76" spans="1:16" ht="18" customHeight="1" x14ac:dyDescent="0.2">
      <c r="A76" s="122">
        <f t="shared" si="11"/>
        <v>53</v>
      </c>
      <c r="B76" s="166" t="s">
        <v>133</v>
      </c>
      <c r="C76" s="166" t="s">
        <v>168</v>
      </c>
      <c r="D76" s="167" t="s">
        <v>211</v>
      </c>
      <c r="E76" s="168">
        <v>292</v>
      </c>
      <c r="F76" s="164">
        <v>0.05</v>
      </c>
      <c r="G76" s="163">
        <f t="shared" ref="G76" si="62">E76+(E76*F76)</f>
        <v>306.60000000000002</v>
      </c>
      <c r="H76" s="6" t="s">
        <v>119</v>
      </c>
      <c r="I76" s="193">
        <v>2.0999999999999998E-2</v>
      </c>
      <c r="J76" s="3">
        <f t="shared" si="51"/>
        <v>6.4386000000000001</v>
      </c>
      <c r="K76" s="140">
        <v>78.45</v>
      </c>
      <c r="L76" s="126">
        <f t="shared" si="52"/>
        <v>505.10817000000003</v>
      </c>
      <c r="M76" s="126">
        <v>1.96</v>
      </c>
      <c r="N76" s="127">
        <f t="shared" si="53"/>
        <v>600.93600000000004</v>
      </c>
      <c r="O76" s="165">
        <f t="shared" si="54"/>
        <v>1106.0441700000001</v>
      </c>
      <c r="P76" s="125"/>
    </row>
    <row r="77" spans="1:16" ht="18" customHeight="1" x14ac:dyDescent="0.2">
      <c r="A77" s="122">
        <f t="shared" si="11"/>
        <v>54</v>
      </c>
      <c r="B77" s="166" t="s">
        <v>128</v>
      </c>
      <c r="C77" s="166" t="s">
        <v>170</v>
      </c>
      <c r="D77" s="167" t="s">
        <v>254</v>
      </c>
      <c r="E77" s="168">
        <v>53</v>
      </c>
      <c r="F77" s="164">
        <v>0.05</v>
      </c>
      <c r="G77" s="163">
        <f t="shared" ref="G77" si="63">E77+(E77*F77)</f>
        <v>55.65</v>
      </c>
      <c r="H77" s="6" t="s">
        <v>119</v>
      </c>
      <c r="I77" s="193">
        <v>2.0999999999999998E-2</v>
      </c>
      <c r="J77" s="3">
        <f t="shared" si="51"/>
        <v>1.1686499999999997</v>
      </c>
      <c r="K77" s="140">
        <v>78.45</v>
      </c>
      <c r="L77" s="126">
        <f t="shared" si="52"/>
        <v>91.680592499999989</v>
      </c>
      <c r="M77" s="126">
        <v>1.96</v>
      </c>
      <c r="N77" s="127">
        <f t="shared" si="53"/>
        <v>109.074</v>
      </c>
      <c r="O77" s="165">
        <f t="shared" si="54"/>
        <v>200.7545925</v>
      </c>
      <c r="P77" s="125"/>
    </row>
    <row r="78" spans="1:16" ht="15.75" x14ac:dyDescent="0.2">
      <c r="A78" s="122" t="str">
        <f t="shared" si="11"/>
        <v/>
      </c>
      <c r="B78" s="166"/>
      <c r="C78" s="166"/>
      <c r="D78" s="167"/>
      <c r="E78" s="168"/>
      <c r="F78" s="164"/>
      <c r="G78" s="163"/>
      <c r="H78" s="6"/>
      <c r="I78" s="193"/>
      <c r="J78" s="3"/>
      <c r="K78" s="161"/>
      <c r="L78" s="143"/>
      <c r="M78" s="143"/>
      <c r="N78" s="162"/>
      <c r="O78" s="165"/>
      <c r="P78" s="125"/>
    </row>
    <row r="79" spans="1:16" ht="18.75" x14ac:dyDescent="0.2">
      <c r="A79" s="122" t="str">
        <f t="shared" si="11"/>
        <v/>
      </c>
      <c r="B79" s="166"/>
      <c r="C79" s="166"/>
      <c r="D79" s="169" t="s">
        <v>167</v>
      </c>
      <c r="E79" s="168"/>
      <c r="F79" s="164"/>
      <c r="G79" s="163"/>
      <c r="H79" s="6"/>
      <c r="I79" s="193"/>
      <c r="J79" s="3"/>
      <c r="K79" s="161"/>
      <c r="L79" s="143"/>
      <c r="M79" s="143"/>
      <c r="N79" s="162"/>
      <c r="O79" s="165"/>
      <c r="P79" s="125"/>
    </row>
    <row r="80" spans="1:16" ht="18" customHeight="1" x14ac:dyDescent="0.2">
      <c r="A80" s="122">
        <f t="shared" si="11"/>
        <v>55</v>
      </c>
      <c r="B80" s="166" t="s">
        <v>125</v>
      </c>
      <c r="C80" s="166" t="s">
        <v>125</v>
      </c>
      <c r="D80" s="167" t="s">
        <v>166</v>
      </c>
      <c r="E80" s="168">
        <v>3230</v>
      </c>
      <c r="F80" s="164">
        <v>0.05</v>
      </c>
      <c r="G80" s="163">
        <f t="shared" ref="G80:G87" si="64">E80+(E80*F80)</f>
        <v>3391.5</v>
      </c>
      <c r="H80" s="6" t="s">
        <v>119</v>
      </c>
      <c r="I80" s="193">
        <v>9.375E-2</v>
      </c>
      <c r="J80" s="3">
        <f t="shared" ref="J80" si="65">I80*G80</f>
        <v>317.953125</v>
      </c>
      <c r="K80" s="140">
        <v>78.45</v>
      </c>
      <c r="L80" s="126">
        <f t="shared" ref="L80" si="66">K80*J80</f>
        <v>24943.422656250001</v>
      </c>
      <c r="M80" s="126">
        <v>8.75</v>
      </c>
      <c r="N80" s="127">
        <f t="shared" ref="N80" si="67">M80*G80</f>
        <v>29675.625</v>
      </c>
      <c r="O80" s="165">
        <f t="shared" ref="O80" si="68">L80+N80</f>
        <v>54619.047656249997</v>
      </c>
      <c r="P80" s="125"/>
    </row>
    <row r="81" spans="1:16" ht="15.75" x14ac:dyDescent="0.2">
      <c r="A81" s="122" t="str">
        <f t="shared" si="11"/>
        <v/>
      </c>
      <c r="B81" s="166"/>
      <c r="C81" s="166"/>
      <c r="D81" s="167"/>
      <c r="E81" s="168"/>
      <c r="F81" s="164"/>
      <c r="G81" s="163"/>
      <c r="H81" s="6"/>
      <c r="I81" s="193"/>
      <c r="J81" s="3"/>
      <c r="K81" s="161"/>
      <c r="L81" s="143"/>
      <c r="M81" s="143"/>
      <c r="N81" s="162"/>
      <c r="O81" s="165"/>
      <c r="P81" s="125"/>
    </row>
    <row r="82" spans="1:16" ht="18" customHeight="1" x14ac:dyDescent="0.2">
      <c r="A82" s="122">
        <f t="shared" si="11"/>
        <v>56</v>
      </c>
      <c r="B82" s="166" t="s">
        <v>128</v>
      </c>
      <c r="C82" s="166" t="s">
        <v>128</v>
      </c>
      <c r="D82" s="167" t="s">
        <v>255</v>
      </c>
      <c r="E82" s="168">
        <v>78</v>
      </c>
      <c r="F82" s="164">
        <v>0.05</v>
      </c>
      <c r="G82" s="163">
        <f t="shared" ref="G82" si="69">E82+(E82*F82)</f>
        <v>81.900000000000006</v>
      </c>
      <c r="H82" s="6" t="s">
        <v>119</v>
      </c>
      <c r="I82" s="193">
        <v>2.2499999999999999E-2</v>
      </c>
      <c r="J82" s="3">
        <f t="shared" ref="J82" si="70">I82*G82</f>
        <v>1.8427500000000001</v>
      </c>
      <c r="K82" s="140">
        <v>78.45</v>
      </c>
      <c r="L82" s="126">
        <f t="shared" ref="L82" si="71">K82*J82</f>
        <v>144.5637375</v>
      </c>
      <c r="M82" s="126">
        <v>2.1</v>
      </c>
      <c r="N82" s="127">
        <f t="shared" ref="N82" si="72">M82*G82</f>
        <v>171.99</v>
      </c>
      <c r="O82" s="165">
        <f t="shared" ref="O82" si="73">L82+N82</f>
        <v>316.55373750000001</v>
      </c>
      <c r="P82" s="125"/>
    </row>
    <row r="83" spans="1:16" ht="15.75" x14ac:dyDescent="0.2">
      <c r="A83" s="122" t="str">
        <f t="shared" si="11"/>
        <v/>
      </c>
      <c r="B83" s="166"/>
      <c r="C83" s="166"/>
      <c r="D83" s="167"/>
      <c r="E83" s="168"/>
      <c r="F83" s="164"/>
      <c r="G83" s="163"/>
      <c r="H83" s="6"/>
      <c r="I83" s="193"/>
      <c r="J83" s="3"/>
      <c r="K83" s="161"/>
      <c r="L83" s="143"/>
      <c r="M83" s="143"/>
      <c r="N83" s="162"/>
      <c r="O83" s="165"/>
      <c r="P83" s="125"/>
    </row>
    <row r="84" spans="1:16" ht="18" customHeight="1" x14ac:dyDescent="0.2">
      <c r="A84" s="122">
        <f t="shared" ref="A84:A139" si="74">IF(H84&lt;&gt;"",1+MAX(A72:A83),"")</f>
        <v>57</v>
      </c>
      <c r="B84" s="166" t="s">
        <v>125</v>
      </c>
      <c r="C84" s="166" t="s">
        <v>125</v>
      </c>
      <c r="D84" s="167" t="s">
        <v>256</v>
      </c>
      <c r="E84" s="168">
        <v>355</v>
      </c>
      <c r="F84" s="164">
        <v>0.05</v>
      </c>
      <c r="G84" s="163">
        <f t="shared" ref="G84" si="75">E84+(E84*F84)</f>
        <v>372.75</v>
      </c>
      <c r="H84" s="6" t="s">
        <v>119</v>
      </c>
      <c r="I84" s="193">
        <v>4.4999999999999998E-2</v>
      </c>
      <c r="J84" s="3">
        <f t="shared" ref="J84:J85" si="76">I84*G84</f>
        <v>16.77375</v>
      </c>
      <c r="K84" s="140">
        <v>78.45</v>
      </c>
      <c r="L84" s="126">
        <f t="shared" ref="L84:L85" si="77">K84*J84</f>
        <v>1315.9006875</v>
      </c>
      <c r="M84" s="126">
        <v>4.2</v>
      </c>
      <c r="N84" s="127">
        <f t="shared" ref="N84:N85" si="78">M84*G84</f>
        <v>1565.55</v>
      </c>
      <c r="O84" s="165">
        <f t="shared" ref="O84:O85" si="79">L84+N84</f>
        <v>2881.4506874999997</v>
      </c>
      <c r="P84" s="125"/>
    </row>
    <row r="85" spans="1:16" ht="18" customHeight="1" x14ac:dyDescent="0.2">
      <c r="A85" s="122">
        <f t="shared" si="74"/>
        <v>58</v>
      </c>
      <c r="B85" s="166" t="s">
        <v>128</v>
      </c>
      <c r="C85" s="166" t="s">
        <v>128</v>
      </c>
      <c r="D85" s="167" t="s">
        <v>257</v>
      </c>
      <c r="E85" s="168">
        <v>2720</v>
      </c>
      <c r="F85" s="164">
        <v>0.05</v>
      </c>
      <c r="G85" s="163">
        <f t="shared" ref="G85" si="80">E85+(E85*F85)</f>
        <v>2856</v>
      </c>
      <c r="H85" s="6" t="s">
        <v>119</v>
      </c>
      <c r="I85" s="193">
        <v>2.2499999999999999E-2</v>
      </c>
      <c r="J85" s="3">
        <f t="shared" si="76"/>
        <v>64.259999999999991</v>
      </c>
      <c r="K85" s="140">
        <v>78.45</v>
      </c>
      <c r="L85" s="126">
        <f t="shared" si="77"/>
        <v>5041.1969999999992</v>
      </c>
      <c r="M85" s="126">
        <v>2.1</v>
      </c>
      <c r="N85" s="127">
        <f t="shared" si="78"/>
        <v>5997.6</v>
      </c>
      <c r="O85" s="165">
        <f t="shared" si="79"/>
        <v>11038.796999999999</v>
      </c>
      <c r="P85" s="125"/>
    </row>
    <row r="86" spans="1:16" ht="15.75" x14ac:dyDescent="0.2">
      <c r="A86" s="122" t="str">
        <f t="shared" si="74"/>
        <v/>
      </c>
      <c r="B86" s="166"/>
      <c r="C86" s="166"/>
      <c r="D86" s="167"/>
      <c r="E86" s="168"/>
      <c r="F86" s="164"/>
      <c r="G86" s="163"/>
      <c r="H86" s="6"/>
      <c r="I86" s="193"/>
      <c r="J86" s="3"/>
      <c r="K86" s="161"/>
      <c r="L86" s="143"/>
      <c r="M86" s="143"/>
      <c r="N86" s="162"/>
      <c r="O86" s="165"/>
      <c r="P86" s="125"/>
    </row>
    <row r="87" spans="1:16" ht="18" customHeight="1" x14ac:dyDescent="0.2">
      <c r="A87" s="122">
        <f t="shared" si="74"/>
        <v>59</v>
      </c>
      <c r="B87" s="166" t="s">
        <v>133</v>
      </c>
      <c r="C87" s="166" t="s">
        <v>133</v>
      </c>
      <c r="D87" s="167" t="s">
        <v>212</v>
      </c>
      <c r="E87" s="168">
        <v>1480</v>
      </c>
      <c r="F87" s="164">
        <v>0.05</v>
      </c>
      <c r="G87" s="163">
        <f t="shared" si="64"/>
        <v>1554</v>
      </c>
      <c r="H87" s="6" t="s">
        <v>119</v>
      </c>
      <c r="I87" s="193">
        <v>0.10874999999999999</v>
      </c>
      <c r="J87" s="3">
        <f t="shared" ref="J87:J90" si="81">I87*G87</f>
        <v>168.99749999999997</v>
      </c>
      <c r="K87" s="140">
        <v>78.45</v>
      </c>
      <c r="L87" s="126">
        <f t="shared" ref="L87:L90" si="82">K87*J87</f>
        <v>13257.853874999999</v>
      </c>
      <c r="M87" s="126">
        <v>10.15</v>
      </c>
      <c r="N87" s="127">
        <f t="shared" ref="N87:N90" si="83">M87*G87</f>
        <v>15773.1</v>
      </c>
      <c r="O87" s="165">
        <f t="shared" ref="O87:O90" si="84">L87+N87</f>
        <v>29030.953874999999</v>
      </c>
      <c r="P87" s="125"/>
    </row>
    <row r="88" spans="1:16" ht="18" customHeight="1" x14ac:dyDescent="0.2">
      <c r="A88" s="122">
        <f t="shared" si="74"/>
        <v>60</v>
      </c>
      <c r="B88" s="166" t="s">
        <v>136</v>
      </c>
      <c r="C88" s="166" t="s">
        <v>136</v>
      </c>
      <c r="D88" s="167" t="s">
        <v>161</v>
      </c>
      <c r="E88" s="168">
        <v>164</v>
      </c>
      <c r="F88" s="164">
        <v>0.05</v>
      </c>
      <c r="G88" s="163">
        <f t="shared" ref="G88" si="85">E88+(E88*F88)</f>
        <v>172.2</v>
      </c>
      <c r="H88" s="6" t="s">
        <v>119</v>
      </c>
      <c r="I88" s="193">
        <v>9.4875000000000001E-2</v>
      </c>
      <c r="J88" s="3">
        <f t="shared" si="81"/>
        <v>16.337474999999998</v>
      </c>
      <c r="K88" s="140">
        <v>78.45</v>
      </c>
      <c r="L88" s="126">
        <f t="shared" si="82"/>
        <v>1281.6749137499999</v>
      </c>
      <c r="M88" s="126">
        <v>8.8550000000000004</v>
      </c>
      <c r="N88" s="127">
        <f t="shared" si="83"/>
        <v>1524.8309999999999</v>
      </c>
      <c r="O88" s="165">
        <f t="shared" si="84"/>
        <v>2806.5059137499998</v>
      </c>
      <c r="P88" s="125"/>
    </row>
    <row r="89" spans="1:16" ht="18" customHeight="1" x14ac:dyDescent="0.2">
      <c r="A89" s="122">
        <f t="shared" si="74"/>
        <v>61</v>
      </c>
      <c r="B89" s="166" t="s">
        <v>136</v>
      </c>
      <c r="C89" s="166" t="s">
        <v>178</v>
      </c>
      <c r="D89" s="167" t="s">
        <v>135</v>
      </c>
      <c r="E89" s="168">
        <v>143</v>
      </c>
      <c r="F89" s="164">
        <v>0.05</v>
      </c>
      <c r="G89" s="163">
        <f t="shared" ref="G89" si="86">E89+(E89*F89)</f>
        <v>150.15</v>
      </c>
      <c r="H89" s="6" t="s">
        <v>119</v>
      </c>
      <c r="I89" s="193">
        <v>0.110625</v>
      </c>
      <c r="J89" s="3">
        <f t="shared" si="81"/>
        <v>16.610343750000002</v>
      </c>
      <c r="K89" s="140">
        <v>78.45</v>
      </c>
      <c r="L89" s="126">
        <f t="shared" si="82"/>
        <v>1303.0814671875003</v>
      </c>
      <c r="M89" s="126">
        <v>10.324999999999999</v>
      </c>
      <c r="N89" s="127">
        <f t="shared" si="83"/>
        <v>1550.2987499999999</v>
      </c>
      <c r="O89" s="165">
        <f t="shared" si="84"/>
        <v>2853.3802171875004</v>
      </c>
      <c r="P89" s="125"/>
    </row>
    <row r="90" spans="1:16" ht="18" customHeight="1" x14ac:dyDescent="0.2">
      <c r="A90" s="122">
        <f t="shared" si="74"/>
        <v>62</v>
      </c>
      <c r="B90" s="166" t="s">
        <v>128</v>
      </c>
      <c r="C90" s="166" t="s">
        <v>170</v>
      </c>
      <c r="D90" s="167" t="s">
        <v>162</v>
      </c>
      <c r="E90" s="168">
        <v>53</v>
      </c>
      <c r="F90" s="164">
        <v>0.05</v>
      </c>
      <c r="G90" s="163">
        <f t="shared" ref="G90" si="87">E90+(E90*F90)</f>
        <v>55.65</v>
      </c>
      <c r="H90" s="6" t="s">
        <v>119</v>
      </c>
      <c r="I90" s="193">
        <v>0.10687499999999998</v>
      </c>
      <c r="J90" s="3">
        <f t="shared" si="81"/>
        <v>5.9475937499999993</v>
      </c>
      <c r="K90" s="140">
        <v>78.45</v>
      </c>
      <c r="L90" s="126">
        <f t="shared" si="82"/>
        <v>466.58872968749995</v>
      </c>
      <c r="M90" s="126">
        <v>9.9750000000000014</v>
      </c>
      <c r="N90" s="127">
        <f t="shared" si="83"/>
        <v>555.1087500000001</v>
      </c>
      <c r="O90" s="165">
        <f t="shared" si="84"/>
        <v>1021.6974796875</v>
      </c>
      <c r="P90" s="125"/>
    </row>
    <row r="91" spans="1:16" ht="15.75" x14ac:dyDescent="0.2">
      <c r="A91" s="122" t="str">
        <f t="shared" si="74"/>
        <v/>
      </c>
      <c r="B91" s="166"/>
      <c r="C91" s="166"/>
      <c r="D91" s="167" t="s">
        <v>187</v>
      </c>
      <c r="E91" s="168"/>
      <c r="F91" s="164"/>
      <c r="G91" s="163"/>
      <c r="H91" s="6"/>
      <c r="I91" s="193"/>
      <c r="J91" s="3"/>
      <c r="K91" s="161"/>
      <c r="L91" s="143"/>
      <c r="M91" s="143"/>
      <c r="N91" s="162"/>
      <c r="O91" s="165"/>
      <c r="P91" s="125"/>
    </row>
    <row r="92" spans="1:16" ht="18" customHeight="1" x14ac:dyDescent="0.2">
      <c r="A92" s="122">
        <f t="shared" si="74"/>
        <v>63</v>
      </c>
      <c r="B92" s="166" t="s">
        <v>139</v>
      </c>
      <c r="C92" s="166" t="s">
        <v>177</v>
      </c>
      <c r="D92" s="167" t="s">
        <v>213</v>
      </c>
      <c r="E92" s="168">
        <f>16*9</f>
        <v>144</v>
      </c>
      <c r="F92" s="164">
        <v>0.05</v>
      </c>
      <c r="G92" s="163">
        <f>E92+(E92*F92)</f>
        <v>151.19999999999999</v>
      </c>
      <c r="H92" s="6" t="s">
        <v>119</v>
      </c>
      <c r="I92" s="193">
        <v>2.2499999999999999E-2</v>
      </c>
      <c r="J92" s="3">
        <f t="shared" ref="J92" si="88">I92*G92</f>
        <v>3.4019999999999997</v>
      </c>
      <c r="K92" s="140">
        <v>78.45</v>
      </c>
      <c r="L92" s="126">
        <f t="shared" ref="L92" si="89">K92*J92</f>
        <v>266.88689999999997</v>
      </c>
      <c r="M92" s="126">
        <v>2.1</v>
      </c>
      <c r="N92" s="127">
        <f t="shared" ref="N92" si="90">M92*G92</f>
        <v>317.52</v>
      </c>
      <c r="O92" s="165">
        <f t="shared" ref="O92" si="91">L92+N92</f>
        <v>584.40689999999995</v>
      </c>
      <c r="P92" s="125"/>
    </row>
    <row r="93" spans="1:16" ht="15.75" x14ac:dyDescent="0.2">
      <c r="A93" s="122" t="str">
        <f t="shared" si="74"/>
        <v/>
      </c>
      <c r="B93" s="166"/>
      <c r="C93" s="166"/>
      <c r="D93" s="167"/>
      <c r="E93" s="168"/>
      <c r="F93" s="164"/>
      <c r="G93" s="163"/>
      <c r="H93" s="6"/>
      <c r="I93" s="193"/>
      <c r="J93" s="3"/>
      <c r="K93" s="161"/>
      <c r="L93" s="143"/>
      <c r="M93" s="143"/>
      <c r="N93" s="162"/>
      <c r="O93" s="165"/>
      <c r="P93" s="125"/>
    </row>
    <row r="94" spans="1:16" ht="18.75" x14ac:dyDescent="0.2">
      <c r="A94" s="122" t="str">
        <f t="shared" si="74"/>
        <v/>
      </c>
      <c r="B94" s="166"/>
      <c r="C94" s="166"/>
      <c r="D94" s="169" t="s">
        <v>148</v>
      </c>
      <c r="E94" s="168"/>
      <c r="F94" s="164"/>
      <c r="G94" s="163"/>
      <c r="H94" s="6"/>
      <c r="I94" s="193"/>
      <c r="J94" s="3"/>
      <c r="K94" s="161"/>
      <c r="L94" s="143"/>
      <c r="M94" s="143"/>
      <c r="N94" s="162"/>
      <c r="O94" s="165"/>
      <c r="P94" s="125"/>
    </row>
    <row r="95" spans="1:16" ht="31.5" x14ac:dyDescent="0.2">
      <c r="A95" s="122">
        <f t="shared" si="74"/>
        <v>64</v>
      </c>
      <c r="B95" s="166" t="s">
        <v>149</v>
      </c>
      <c r="C95" s="166" t="s">
        <v>149</v>
      </c>
      <c r="D95" s="167" t="s">
        <v>258</v>
      </c>
      <c r="E95" s="168">
        <v>4330</v>
      </c>
      <c r="F95" s="164">
        <v>0.05</v>
      </c>
      <c r="G95" s="163">
        <f t="shared" ref="G95" si="92">E95+(E95*F95)</f>
        <v>4546.5</v>
      </c>
      <c r="H95" s="6" t="s">
        <v>120</v>
      </c>
      <c r="I95" s="193">
        <v>2.3399999999999997E-2</v>
      </c>
      <c r="J95" s="3">
        <f t="shared" ref="J95:J102" si="93">I95*G95</f>
        <v>106.38809999999998</v>
      </c>
      <c r="K95" s="140">
        <v>78.45</v>
      </c>
      <c r="L95" s="126">
        <f t="shared" ref="L95:L102" si="94">K95*J95</f>
        <v>8346.1464449999985</v>
      </c>
      <c r="M95" s="126">
        <v>2.1840000000000002</v>
      </c>
      <c r="N95" s="127">
        <f t="shared" ref="N95:N102" si="95">M95*G95</f>
        <v>9929.5560000000005</v>
      </c>
      <c r="O95" s="165">
        <f t="shared" ref="O95:O102" si="96">L95+N95</f>
        <v>18275.702444999999</v>
      </c>
      <c r="P95" s="125"/>
    </row>
    <row r="96" spans="1:16" ht="18" customHeight="1" x14ac:dyDescent="0.2">
      <c r="A96" s="122">
        <f t="shared" si="74"/>
        <v>65</v>
      </c>
      <c r="B96" s="166" t="s">
        <v>125</v>
      </c>
      <c r="C96" s="166" t="s">
        <v>176</v>
      </c>
      <c r="D96" s="167" t="s">
        <v>259</v>
      </c>
      <c r="E96" s="168">
        <v>706</v>
      </c>
      <c r="F96" s="164">
        <v>0.05</v>
      </c>
      <c r="G96" s="163">
        <f t="shared" ref="G96" si="97">E96+(E96*F96)</f>
        <v>741.3</v>
      </c>
      <c r="H96" s="6" t="s">
        <v>120</v>
      </c>
      <c r="I96" s="193">
        <v>2.1899999999999999E-2</v>
      </c>
      <c r="J96" s="3">
        <f t="shared" si="93"/>
        <v>16.234469999999998</v>
      </c>
      <c r="K96" s="140">
        <v>78.45</v>
      </c>
      <c r="L96" s="126">
        <f t="shared" si="94"/>
        <v>1273.5941714999999</v>
      </c>
      <c r="M96" s="126">
        <v>2.044</v>
      </c>
      <c r="N96" s="127">
        <f t="shared" si="95"/>
        <v>1515.2172</v>
      </c>
      <c r="O96" s="165">
        <f t="shared" si="96"/>
        <v>2788.8113715</v>
      </c>
      <c r="P96" s="125"/>
    </row>
    <row r="97" spans="1:16" ht="31.5" x14ac:dyDescent="0.2">
      <c r="A97" s="122">
        <f t="shared" si="74"/>
        <v>66</v>
      </c>
      <c r="B97" s="166" t="s">
        <v>133</v>
      </c>
      <c r="C97" s="166" t="s">
        <v>174</v>
      </c>
      <c r="D97" s="167" t="s">
        <v>260</v>
      </c>
      <c r="E97" s="168">
        <f>2190+910</f>
        <v>3100</v>
      </c>
      <c r="F97" s="164">
        <v>0.05</v>
      </c>
      <c r="G97" s="163">
        <f t="shared" ref="G97" si="98">E97+(E97*F97)</f>
        <v>3255</v>
      </c>
      <c r="H97" s="6" t="s">
        <v>120</v>
      </c>
      <c r="I97" s="193">
        <v>2.0400000000000001E-2</v>
      </c>
      <c r="J97" s="3">
        <f t="shared" si="93"/>
        <v>66.402000000000001</v>
      </c>
      <c r="K97" s="140">
        <v>78.45</v>
      </c>
      <c r="L97" s="126">
        <f t="shared" si="94"/>
        <v>5209.2368999999999</v>
      </c>
      <c r="M97" s="126">
        <v>1.9040000000000001</v>
      </c>
      <c r="N97" s="127">
        <f t="shared" si="95"/>
        <v>6197.52</v>
      </c>
      <c r="O97" s="165">
        <f t="shared" si="96"/>
        <v>11406.7569</v>
      </c>
      <c r="P97" s="125"/>
    </row>
    <row r="98" spans="1:16" ht="18" customHeight="1" x14ac:dyDescent="0.2">
      <c r="A98" s="122">
        <f t="shared" si="74"/>
        <v>67</v>
      </c>
      <c r="B98" s="166" t="s">
        <v>133</v>
      </c>
      <c r="C98" s="166" t="s">
        <v>175</v>
      </c>
      <c r="D98" s="167" t="s">
        <v>267</v>
      </c>
      <c r="E98" s="168">
        <v>4710</v>
      </c>
      <c r="F98" s="164">
        <v>0.05</v>
      </c>
      <c r="G98" s="163">
        <f t="shared" ref="G98" si="99">E98+(E98*F98)</f>
        <v>4945.5</v>
      </c>
      <c r="H98" s="6" t="s">
        <v>120</v>
      </c>
      <c r="I98" s="193">
        <v>2.0400000000000001E-2</v>
      </c>
      <c r="J98" s="3">
        <f t="shared" si="93"/>
        <v>100.88820000000001</v>
      </c>
      <c r="K98" s="140">
        <v>78.45</v>
      </c>
      <c r="L98" s="126">
        <f t="shared" si="94"/>
        <v>7914.6792900000009</v>
      </c>
      <c r="M98" s="126">
        <v>1.9040000000000001</v>
      </c>
      <c r="N98" s="127">
        <f t="shared" si="95"/>
        <v>9416.232</v>
      </c>
      <c r="O98" s="165">
        <f t="shared" si="96"/>
        <v>17330.91129</v>
      </c>
      <c r="P98" s="125"/>
    </row>
    <row r="99" spans="1:16" ht="31.5" x14ac:dyDescent="0.2">
      <c r="A99" s="122">
        <f t="shared" si="74"/>
        <v>68</v>
      </c>
      <c r="B99" s="166" t="s">
        <v>147</v>
      </c>
      <c r="C99" s="166" t="s">
        <v>173</v>
      </c>
      <c r="D99" s="167" t="s">
        <v>214</v>
      </c>
      <c r="E99" s="168">
        <f>640*10+78*12</f>
        <v>7336</v>
      </c>
      <c r="F99" s="164">
        <v>0.05</v>
      </c>
      <c r="G99" s="163">
        <f t="shared" ref="G99" si="100">E99+(E99*F99)</f>
        <v>7702.8</v>
      </c>
      <c r="H99" s="6" t="s">
        <v>120</v>
      </c>
      <c r="I99" s="193">
        <v>1.95E-2</v>
      </c>
      <c r="J99" s="3">
        <f t="shared" si="93"/>
        <v>150.2046</v>
      </c>
      <c r="K99" s="140">
        <v>78.45</v>
      </c>
      <c r="L99" s="126">
        <f t="shared" si="94"/>
        <v>11783.550870000001</v>
      </c>
      <c r="M99" s="126">
        <v>1.82</v>
      </c>
      <c r="N99" s="127">
        <f t="shared" si="95"/>
        <v>14019.096000000001</v>
      </c>
      <c r="O99" s="165">
        <f t="shared" si="96"/>
        <v>25802.646870000004</v>
      </c>
      <c r="P99" s="125"/>
    </row>
    <row r="100" spans="1:16" ht="18" customHeight="1" x14ac:dyDescent="0.2">
      <c r="A100" s="122">
        <f t="shared" si="74"/>
        <v>69</v>
      </c>
      <c r="B100" s="166" t="s">
        <v>172</v>
      </c>
      <c r="C100" s="166" t="s">
        <v>171</v>
      </c>
      <c r="D100" s="167" t="s">
        <v>215</v>
      </c>
      <c r="E100" s="168">
        <v>110</v>
      </c>
      <c r="F100" s="164">
        <v>0.05</v>
      </c>
      <c r="G100" s="163">
        <f t="shared" ref="G100" si="101">E100+(E100*F100)</f>
        <v>115.5</v>
      </c>
      <c r="H100" s="6" t="s">
        <v>120</v>
      </c>
      <c r="I100" s="193">
        <v>2.085E-2</v>
      </c>
      <c r="J100" s="3">
        <f t="shared" si="93"/>
        <v>2.408175</v>
      </c>
      <c r="K100" s="140">
        <v>78.45</v>
      </c>
      <c r="L100" s="126">
        <f t="shared" si="94"/>
        <v>188.92132875000001</v>
      </c>
      <c r="M100" s="126">
        <v>1.9459999999999997</v>
      </c>
      <c r="N100" s="127">
        <f t="shared" si="95"/>
        <v>224.76299999999998</v>
      </c>
      <c r="O100" s="165">
        <f t="shared" si="96"/>
        <v>413.68432874999996</v>
      </c>
      <c r="P100" s="125"/>
    </row>
    <row r="101" spans="1:16" ht="18" customHeight="1" x14ac:dyDescent="0.2">
      <c r="A101" s="122">
        <f t="shared" si="74"/>
        <v>70</v>
      </c>
      <c r="B101" s="166" t="s">
        <v>172</v>
      </c>
      <c r="C101" s="166" t="s">
        <v>171</v>
      </c>
      <c r="D101" s="167" t="s">
        <v>216</v>
      </c>
      <c r="E101" s="168">
        <f>40*10</f>
        <v>400</v>
      </c>
      <c r="F101" s="164">
        <v>0.05</v>
      </c>
      <c r="G101" s="163">
        <f t="shared" ref="G101" si="102">E101+(E101*F101)</f>
        <v>420</v>
      </c>
      <c r="H101" s="6" t="s">
        <v>120</v>
      </c>
      <c r="I101" s="193">
        <v>2.085E-2</v>
      </c>
      <c r="J101" s="3">
        <f t="shared" si="93"/>
        <v>8.7569999999999997</v>
      </c>
      <c r="K101" s="140">
        <v>78.45</v>
      </c>
      <c r="L101" s="126">
        <f t="shared" si="94"/>
        <v>686.98665000000005</v>
      </c>
      <c r="M101" s="126">
        <v>1.9459999999999997</v>
      </c>
      <c r="N101" s="127">
        <f t="shared" si="95"/>
        <v>817.31999999999994</v>
      </c>
      <c r="O101" s="165">
        <f t="shared" si="96"/>
        <v>1504.30665</v>
      </c>
      <c r="P101" s="125"/>
    </row>
    <row r="102" spans="1:16" ht="18" customHeight="1" x14ac:dyDescent="0.2">
      <c r="A102" s="122">
        <f t="shared" si="74"/>
        <v>71</v>
      </c>
      <c r="B102" s="166" t="s">
        <v>143</v>
      </c>
      <c r="C102" s="166" t="s">
        <v>141</v>
      </c>
      <c r="D102" s="167" t="s">
        <v>268</v>
      </c>
      <c r="E102" s="168">
        <f>3.42*11.65</f>
        <v>39.843000000000004</v>
      </c>
      <c r="F102" s="164">
        <v>0.05</v>
      </c>
      <c r="G102" s="163">
        <f t="shared" ref="G102" si="103">E102+(E102*F102)</f>
        <v>41.835150000000006</v>
      </c>
      <c r="H102" s="6" t="s">
        <v>120</v>
      </c>
      <c r="I102" s="193">
        <v>2.1149999999999999E-2</v>
      </c>
      <c r="J102" s="3">
        <f t="shared" si="93"/>
        <v>0.88481342250000006</v>
      </c>
      <c r="K102" s="140">
        <v>78.45</v>
      </c>
      <c r="L102" s="126">
        <f t="shared" si="94"/>
        <v>69.413612995125007</v>
      </c>
      <c r="M102" s="126">
        <v>1.9739999999999998</v>
      </c>
      <c r="N102" s="127">
        <f t="shared" si="95"/>
        <v>82.5825861</v>
      </c>
      <c r="O102" s="165">
        <f t="shared" si="96"/>
        <v>151.99619909512501</v>
      </c>
      <c r="P102" s="125"/>
    </row>
    <row r="103" spans="1:16" ht="15.75" x14ac:dyDescent="0.2">
      <c r="A103" s="122" t="str">
        <f t="shared" si="74"/>
        <v/>
      </c>
      <c r="B103" s="166"/>
      <c r="C103" s="166"/>
      <c r="D103" s="167"/>
      <c r="E103" s="168"/>
      <c r="F103" s="164"/>
      <c r="G103" s="163"/>
      <c r="H103" s="6"/>
      <c r="I103" s="193"/>
      <c r="J103" s="3"/>
      <c r="K103" s="161"/>
      <c r="L103" s="143"/>
      <c r="M103" s="143"/>
      <c r="N103" s="162"/>
      <c r="O103" s="165"/>
      <c r="P103" s="125"/>
    </row>
    <row r="104" spans="1:16" ht="18.75" x14ac:dyDescent="0.2">
      <c r="A104" s="122" t="str">
        <f t="shared" si="74"/>
        <v/>
      </c>
      <c r="B104" s="166"/>
      <c r="C104" s="166"/>
      <c r="D104" s="169" t="s">
        <v>150</v>
      </c>
      <c r="E104" s="168"/>
      <c r="F104" s="164"/>
      <c r="G104" s="163"/>
      <c r="H104" s="6"/>
      <c r="I104" s="193"/>
      <c r="J104" s="3"/>
      <c r="K104" s="161"/>
      <c r="L104" s="143"/>
      <c r="M104" s="143"/>
      <c r="N104" s="162"/>
      <c r="O104" s="165"/>
      <c r="P104" s="125"/>
    </row>
    <row r="105" spans="1:16" ht="18" customHeight="1" x14ac:dyDescent="0.2">
      <c r="A105" s="122">
        <f t="shared" si="74"/>
        <v>72</v>
      </c>
      <c r="B105" s="166" t="s">
        <v>151</v>
      </c>
      <c r="C105" s="166" t="s">
        <v>152</v>
      </c>
      <c r="D105" s="167" t="s">
        <v>217</v>
      </c>
      <c r="E105" s="168">
        <f>3.33*26.3+3.25*35</f>
        <v>201.32900000000001</v>
      </c>
      <c r="F105" s="164">
        <v>0.05</v>
      </c>
      <c r="G105" s="163">
        <f t="shared" ref="G105:G106" si="104">E105+(E105*F105)</f>
        <v>211.39545000000001</v>
      </c>
      <c r="H105" s="6" t="s">
        <v>120</v>
      </c>
      <c r="I105" s="193">
        <v>2.085E-2</v>
      </c>
      <c r="J105" s="3">
        <f t="shared" ref="J105:J109" si="105">I105*G105</f>
        <v>4.4075951325</v>
      </c>
      <c r="K105" s="140">
        <v>78.45</v>
      </c>
      <c r="L105" s="126">
        <f t="shared" ref="L105:L109" si="106">K105*J105</f>
        <v>345.77583814462503</v>
      </c>
      <c r="M105" s="126">
        <v>1.9459999999999997</v>
      </c>
      <c r="N105" s="127">
        <f t="shared" ref="N105:N109" si="107">M105*G105</f>
        <v>411.37554569999998</v>
      </c>
      <c r="O105" s="165">
        <f t="shared" ref="O105:O109" si="108">L105+N105</f>
        <v>757.151383844625</v>
      </c>
      <c r="P105" s="125"/>
    </row>
    <row r="106" spans="1:16" ht="18" customHeight="1" x14ac:dyDescent="0.2">
      <c r="A106" s="122">
        <f t="shared" si="74"/>
        <v>73</v>
      </c>
      <c r="B106" s="166" t="s">
        <v>151</v>
      </c>
      <c r="C106" s="166" t="s">
        <v>152</v>
      </c>
      <c r="D106" s="167" t="s">
        <v>218</v>
      </c>
      <c r="E106" s="168">
        <f>3.33*26.3+3.25*35</f>
        <v>201.32900000000001</v>
      </c>
      <c r="F106" s="164">
        <v>0.05</v>
      </c>
      <c r="G106" s="163">
        <f t="shared" si="104"/>
        <v>211.39545000000001</v>
      </c>
      <c r="H106" s="6" t="s">
        <v>120</v>
      </c>
      <c r="I106" s="193">
        <v>9.7500000000000003E-2</v>
      </c>
      <c r="J106" s="3">
        <f t="shared" si="105"/>
        <v>20.611056375</v>
      </c>
      <c r="K106" s="140">
        <v>78.45</v>
      </c>
      <c r="L106" s="126">
        <f t="shared" si="106"/>
        <v>1616.93737261875</v>
      </c>
      <c r="M106" s="126">
        <v>5.85</v>
      </c>
      <c r="N106" s="127">
        <f t="shared" si="107"/>
        <v>1236.6633824999999</v>
      </c>
      <c r="O106" s="165">
        <f t="shared" si="108"/>
        <v>2853.6007551187499</v>
      </c>
      <c r="P106" s="125"/>
    </row>
    <row r="107" spans="1:16" ht="18" customHeight="1" x14ac:dyDescent="0.2">
      <c r="A107" s="122">
        <f t="shared" si="74"/>
        <v>74</v>
      </c>
      <c r="B107" s="166" t="s">
        <v>151</v>
      </c>
      <c r="C107" s="166" t="s">
        <v>155</v>
      </c>
      <c r="D107" s="167" t="s">
        <v>219</v>
      </c>
      <c r="E107" s="168">
        <f>2*43</f>
        <v>86</v>
      </c>
      <c r="F107" s="164">
        <v>0.05</v>
      </c>
      <c r="G107" s="163">
        <f t="shared" ref="G107" si="109">E107+(E107*F107)</f>
        <v>90.3</v>
      </c>
      <c r="H107" s="6" t="s">
        <v>119</v>
      </c>
      <c r="I107" s="193">
        <v>2.4E-2</v>
      </c>
      <c r="J107" s="3">
        <f t="shared" si="105"/>
        <v>2.1671999999999998</v>
      </c>
      <c r="K107" s="140">
        <v>78.45</v>
      </c>
      <c r="L107" s="126">
        <f t="shared" si="106"/>
        <v>170.01684</v>
      </c>
      <c r="M107" s="126">
        <v>2.2400000000000002</v>
      </c>
      <c r="N107" s="127">
        <f t="shared" si="107"/>
        <v>202.27200000000002</v>
      </c>
      <c r="O107" s="165">
        <f t="shared" si="108"/>
        <v>372.28884000000005</v>
      </c>
      <c r="P107" s="125"/>
    </row>
    <row r="108" spans="1:16" ht="18" customHeight="1" x14ac:dyDescent="0.2">
      <c r="A108" s="122">
        <f t="shared" si="74"/>
        <v>75</v>
      </c>
      <c r="B108" s="166" t="s">
        <v>151</v>
      </c>
      <c r="C108" s="166" t="s">
        <v>154</v>
      </c>
      <c r="D108" s="167" t="s">
        <v>220</v>
      </c>
      <c r="E108" s="168">
        <v>28</v>
      </c>
      <c r="F108" s="164">
        <v>0.05</v>
      </c>
      <c r="G108" s="163">
        <f t="shared" ref="G108" si="110">E108+(E108*F108)</f>
        <v>29.4</v>
      </c>
      <c r="H108" s="6" t="s">
        <v>119</v>
      </c>
      <c r="I108" s="193">
        <v>0.48749999999999999</v>
      </c>
      <c r="J108" s="3">
        <f t="shared" si="105"/>
        <v>14.3325</v>
      </c>
      <c r="K108" s="140">
        <v>78.45</v>
      </c>
      <c r="L108" s="126">
        <f t="shared" si="106"/>
        <v>1124.3846249999999</v>
      </c>
      <c r="M108" s="126">
        <v>45.5</v>
      </c>
      <c r="N108" s="127">
        <f t="shared" si="107"/>
        <v>1337.7</v>
      </c>
      <c r="O108" s="165">
        <f t="shared" si="108"/>
        <v>2462.084625</v>
      </c>
      <c r="P108" s="125"/>
    </row>
    <row r="109" spans="1:16" ht="18" customHeight="1" x14ac:dyDescent="0.2">
      <c r="A109" s="122">
        <f t="shared" si="74"/>
        <v>76</v>
      </c>
      <c r="B109" s="166" t="s">
        <v>151</v>
      </c>
      <c r="C109" s="166" t="s">
        <v>153</v>
      </c>
      <c r="D109" s="167" t="s">
        <v>221</v>
      </c>
      <c r="E109" s="168">
        <v>25</v>
      </c>
      <c r="F109" s="164">
        <v>0.05</v>
      </c>
      <c r="G109" s="163">
        <f t="shared" ref="G109" si="111">E109+(E109*F109)</f>
        <v>26.25</v>
      </c>
      <c r="H109" s="6" t="s">
        <v>119</v>
      </c>
      <c r="I109" s="193">
        <v>0.26250000000000001</v>
      </c>
      <c r="J109" s="3">
        <f t="shared" si="105"/>
        <v>6.890625</v>
      </c>
      <c r="K109" s="140">
        <v>78.45</v>
      </c>
      <c r="L109" s="126">
        <f t="shared" si="106"/>
        <v>540.56953125000007</v>
      </c>
      <c r="M109" s="126">
        <v>24.5</v>
      </c>
      <c r="N109" s="127">
        <f t="shared" si="107"/>
        <v>643.125</v>
      </c>
      <c r="O109" s="165">
        <f t="shared" si="108"/>
        <v>1183.6945312500002</v>
      </c>
      <c r="P109" s="125"/>
    </row>
    <row r="110" spans="1:16" ht="15.75" x14ac:dyDescent="0.2">
      <c r="A110" s="122" t="str">
        <f t="shared" si="74"/>
        <v/>
      </c>
      <c r="B110" s="166"/>
      <c r="C110" s="166"/>
      <c r="D110" s="167"/>
      <c r="E110" s="168"/>
      <c r="F110" s="164"/>
      <c r="G110" s="163"/>
      <c r="H110" s="6"/>
      <c r="I110" s="193"/>
      <c r="J110" s="3"/>
      <c r="K110" s="161"/>
      <c r="L110" s="143"/>
      <c r="M110" s="143"/>
      <c r="N110" s="162"/>
      <c r="O110" s="165"/>
      <c r="P110" s="125"/>
    </row>
    <row r="111" spans="1:16" ht="18.75" x14ac:dyDescent="0.2">
      <c r="A111" s="122" t="str">
        <f t="shared" si="74"/>
        <v/>
      </c>
      <c r="B111" s="166"/>
      <c r="C111" s="166"/>
      <c r="D111" s="169" t="s">
        <v>137</v>
      </c>
      <c r="E111" s="168"/>
      <c r="F111" s="164"/>
      <c r="G111" s="163"/>
      <c r="H111" s="6"/>
      <c r="I111" s="193"/>
      <c r="J111" s="3"/>
      <c r="K111" s="161"/>
      <c r="L111" s="143"/>
      <c r="M111" s="143"/>
      <c r="N111" s="162"/>
      <c r="O111" s="165"/>
      <c r="P111" s="125"/>
    </row>
    <row r="112" spans="1:16" ht="18" customHeight="1" x14ac:dyDescent="0.2">
      <c r="A112" s="122">
        <f t="shared" si="74"/>
        <v>77</v>
      </c>
      <c r="B112" s="166" t="s">
        <v>147</v>
      </c>
      <c r="C112" s="166" t="s">
        <v>160</v>
      </c>
      <c r="D112" s="167" t="s">
        <v>222</v>
      </c>
      <c r="E112" s="168">
        <v>750</v>
      </c>
      <c r="F112" s="164">
        <v>0.05</v>
      </c>
      <c r="G112" s="163">
        <f t="shared" ref="G112" si="112">E112+(E112*F112)</f>
        <v>787.5</v>
      </c>
      <c r="H112" s="6" t="s">
        <v>119</v>
      </c>
      <c r="I112" s="193">
        <v>1.8749999999999999E-2</v>
      </c>
      <c r="J112" s="3">
        <f t="shared" ref="J112:J117" si="113">I112*G112</f>
        <v>14.765625</v>
      </c>
      <c r="K112" s="140">
        <v>78.45</v>
      </c>
      <c r="L112" s="126">
        <f t="shared" ref="L112:L117" si="114">K112*J112</f>
        <v>1158.36328125</v>
      </c>
      <c r="M112" s="126">
        <v>1.75</v>
      </c>
      <c r="N112" s="127">
        <f t="shared" ref="N112:N117" si="115">M112*G112</f>
        <v>1378.125</v>
      </c>
      <c r="O112" s="165">
        <f t="shared" ref="O112:O117" si="116">L112+N112</f>
        <v>2536.48828125</v>
      </c>
      <c r="P112" s="125"/>
    </row>
    <row r="113" spans="1:16" ht="18" customHeight="1" x14ac:dyDescent="0.2">
      <c r="A113" s="122">
        <f t="shared" si="74"/>
        <v>78</v>
      </c>
      <c r="B113" s="166" t="s">
        <v>163</v>
      </c>
      <c r="C113" s="166" t="s">
        <v>163</v>
      </c>
      <c r="D113" s="167" t="s">
        <v>223</v>
      </c>
      <c r="E113" s="168">
        <v>45</v>
      </c>
      <c r="F113" s="164">
        <v>0.05</v>
      </c>
      <c r="G113" s="163">
        <f t="shared" ref="G113" si="117">E113+(E113*F113)</f>
        <v>47.25</v>
      </c>
      <c r="H113" s="6" t="s">
        <v>119</v>
      </c>
      <c r="I113" s="193">
        <v>2.2499999999999999E-2</v>
      </c>
      <c r="J113" s="3">
        <f t="shared" si="113"/>
        <v>1.0631249999999999</v>
      </c>
      <c r="K113" s="140">
        <v>78.45</v>
      </c>
      <c r="L113" s="126">
        <f t="shared" si="114"/>
        <v>83.40215624999999</v>
      </c>
      <c r="M113" s="126">
        <v>2.1</v>
      </c>
      <c r="N113" s="127">
        <f t="shared" si="115"/>
        <v>99.225000000000009</v>
      </c>
      <c r="O113" s="165">
        <f t="shared" si="116"/>
        <v>182.62715624999998</v>
      </c>
      <c r="P113" s="125"/>
    </row>
    <row r="114" spans="1:16" ht="18" customHeight="1" x14ac:dyDescent="0.2">
      <c r="A114" s="122">
        <f t="shared" si="74"/>
        <v>79</v>
      </c>
      <c r="B114" s="166" t="s">
        <v>163</v>
      </c>
      <c r="C114" s="166" t="s">
        <v>163</v>
      </c>
      <c r="D114" s="167" t="s">
        <v>224</v>
      </c>
      <c r="E114" s="168">
        <v>48</v>
      </c>
      <c r="F114" s="164">
        <v>0.05</v>
      </c>
      <c r="G114" s="163">
        <f t="shared" ref="G114" si="118">E114+(E114*F114)</f>
        <v>50.4</v>
      </c>
      <c r="H114" s="6" t="s">
        <v>119</v>
      </c>
      <c r="I114" s="193">
        <v>2.0999999999999998E-2</v>
      </c>
      <c r="J114" s="3">
        <f t="shared" si="113"/>
        <v>1.0583999999999998</v>
      </c>
      <c r="K114" s="140">
        <v>78.45</v>
      </c>
      <c r="L114" s="126">
        <f t="shared" si="114"/>
        <v>83.031479999999988</v>
      </c>
      <c r="M114" s="126">
        <v>1.96</v>
      </c>
      <c r="N114" s="127">
        <f t="shared" si="115"/>
        <v>98.783999999999992</v>
      </c>
      <c r="O114" s="165">
        <f t="shared" si="116"/>
        <v>181.81547999999998</v>
      </c>
      <c r="P114" s="125"/>
    </row>
    <row r="115" spans="1:16" ht="18" customHeight="1" x14ac:dyDescent="0.2">
      <c r="A115" s="122">
        <f t="shared" si="74"/>
        <v>80</v>
      </c>
      <c r="B115" s="166" t="s">
        <v>163</v>
      </c>
      <c r="C115" s="166" t="s">
        <v>163</v>
      </c>
      <c r="D115" s="167" t="s">
        <v>225</v>
      </c>
      <c r="E115" s="168">
        <f>10*3.7</f>
        <v>37</v>
      </c>
      <c r="F115" s="164">
        <v>0.05</v>
      </c>
      <c r="G115" s="163">
        <f t="shared" ref="G115" si="119">E115+(E115*F115)</f>
        <v>38.85</v>
      </c>
      <c r="H115" s="6" t="s">
        <v>119</v>
      </c>
      <c r="I115" s="193">
        <v>1.95E-2</v>
      </c>
      <c r="J115" s="3">
        <f t="shared" si="113"/>
        <v>0.757575</v>
      </c>
      <c r="K115" s="140">
        <v>78.45</v>
      </c>
      <c r="L115" s="126">
        <f t="shared" si="114"/>
        <v>59.43175875</v>
      </c>
      <c r="M115" s="126">
        <v>1.82</v>
      </c>
      <c r="N115" s="127">
        <f t="shared" si="115"/>
        <v>70.707000000000008</v>
      </c>
      <c r="O115" s="165">
        <f t="shared" si="116"/>
        <v>130.13875875000002</v>
      </c>
      <c r="P115" s="125"/>
    </row>
    <row r="116" spans="1:16" ht="47.25" x14ac:dyDescent="0.2">
      <c r="A116" s="122">
        <f t="shared" si="74"/>
        <v>81</v>
      </c>
      <c r="B116" s="166" t="s">
        <v>164</v>
      </c>
      <c r="C116" s="166" t="s">
        <v>164</v>
      </c>
      <c r="D116" s="167" t="s">
        <v>226</v>
      </c>
      <c r="E116" s="168">
        <v>366</v>
      </c>
      <c r="F116" s="164">
        <v>0.05</v>
      </c>
      <c r="G116" s="163">
        <f t="shared" ref="G116" si="120">E116+(E116*F116)</f>
        <v>384.3</v>
      </c>
      <c r="H116" s="6" t="s">
        <v>119</v>
      </c>
      <c r="I116" s="193">
        <v>1.7999999999999999E-2</v>
      </c>
      <c r="J116" s="3">
        <f t="shared" si="113"/>
        <v>6.9173999999999998</v>
      </c>
      <c r="K116" s="140">
        <v>78.45</v>
      </c>
      <c r="L116" s="126">
        <f t="shared" si="114"/>
        <v>542.67003</v>
      </c>
      <c r="M116" s="126">
        <v>1.68</v>
      </c>
      <c r="N116" s="127">
        <f t="shared" si="115"/>
        <v>645.62400000000002</v>
      </c>
      <c r="O116" s="165">
        <f t="shared" si="116"/>
        <v>1188.29403</v>
      </c>
      <c r="P116" s="125"/>
    </row>
    <row r="117" spans="1:16" ht="18" customHeight="1" x14ac:dyDescent="0.2">
      <c r="A117" s="122">
        <f t="shared" si="74"/>
        <v>82</v>
      </c>
      <c r="B117" s="166" t="s">
        <v>165</v>
      </c>
      <c r="C117" s="166" t="s">
        <v>165</v>
      </c>
      <c r="D117" s="167" t="s">
        <v>227</v>
      </c>
      <c r="E117" s="168">
        <f>29*0.6+61*7.2+23*7.3+46+15*2.33+48*8.33+14*2.7+34*8.5+56*7.7+49*9.2+165+61*1.5</f>
        <v>2570.59</v>
      </c>
      <c r="F117" s="164">
        <v>0.05</v>
      </c>
      <c r="G117" s="163">
        <f t="shared" ref="G117" si="121">E117+(E117*F117)</f>
        <v>2699.1195000000002</v>
      </c>
      <c r="H117" s="6" t="s">
        <v>119</v>
      </c>
      <c r="I117" s="193">
        <v>1.6500000000000001E-2</v>
      </c>
      <c r="J117" s="3">
        <f t="shared" si="113"/>
        <v>44.535471750000006</v>
      </c>
      <c r="K117" s="140">
        <v>78.45</v>
      </c>
      <c r="L117" s="126">
        <f t="shared" si="114"/>
        <v>3493.8077587875005</v>
      </c>
      <c r="M117" s="126">
        <v>1.54</v>
      </c>
      <c r="N117" s="127">
        <f t="shared" si="115"/>
        <v>4156.6440300000004</v>
      </c>
      <c r="O117" s="165">
        <f t="shared" si="116"/>
        <v>7650.4517887875008</v>
      </c>
      <c r="P117" s="125"/>
    </row>
    <row r="118" spans="1:16" ht="15.75" x14ac:dyDescent="0.2">
      <c r="A118" s="122" t="str">
        <f t="shared" si="74"/>
        <v/>
      </c>
      <c r="B118" s="166"/>
      <c r="C118" s="166"/>
      <c r="D118" s="167" t="s">
        <v>187</v>
      </c>
      <c r="E118" s="168"/>
      <c r="F118" s="164"/>
      <c r="G118" s="163"/>
      <c r="H118" s="6"/>
      <c r="I118" s="193"/>
      <c r="J118" s="3"/>
      <c r="K118" s="161"/>
      <c r="L118" s="126"/>
      <c r="M118" s="126"/>
      <c r="N118" s="127"/>
      <c r="O118" s="165"/>
      <c r="P118" s="125"/>
    </row>
    <row r="119" spans="1:16" ht="18" customHeight="1" x14ac:dyDescent="0.2">
      <c r="A119" s="122">
        <f t="shared" si="74"/>
        <v>83</v>
      </c>
      <c r="B119" s="166" t="s">
        <v>138</v>
      </c>
      <c r="C119" s="166" t="s">
        <v>138</v>
      </c>
      <c r="D119" s="167" t="s">
        <v>228</v>
      </c>
      <c r="E119" s="168">
        <v>435</v>
      </c>
      <c r="F119" s="164">
        <v>0.05</v>
      </c>
      <c r="G119" s="163">
        <f t="shared" ref="G119" si="122">E119+(E119*F119)</f>
        <v>456.75</v>
      </c>
      <c r="H119" s="6" t="s">
        <v>119</v>
      </c>
      <c r="I119" s="193">
        <v>2.1749999999999999E-2</v>
      </c>
      <c r="J119" s="3">
        <f t="shared" ref="J119:J124" si="123">I119*G119</f>
        <v>9.934312499999999</v>
      </c>
      <c r="K119" s="140">
        <v>78.45</v>
      </c>
      <c r="L119" s="126">
        <f t="shared" ref="L119:L124" si="124">K119*J119</f>
        <v>779.34681562499998</v>
      </c>
      <c r="M119" s="126">
        <v>2.0299999999999998</v>
      </c>
      <c r="N119" s="127">
        <f t="shared" ref="N119:N124" si="125">M119*G119</f>
        <v>927.20249999999987</v>
      </c>
      <c r="O119" s="165">
        <f t="shared" ref="O119:O124" si="126">L119+N119</f>
        <v>1706.549315625</v>
      </c>
      <c r="P119" s="125"/>
    </row>
    <row r="120" spans="1:16" ht="18" customHeight="1" x14ac:dyDescent="0.2">
      <c r="A120" s="122">
        <f t="shared" si="74"/>
        <v>84</v>
      </c>
      <c r="B120" s="166" t="s">
        <v>138</v>
      </c>
      <c r="C120" s="166" t="s">
        <v>138</v>
      </c>
      <c r="D120" s="167" t="s">
        <v>229</v>
      </c>
      <c r="E120" s="168">
        <v>240</v>
      </c>
      <c r="F120" s="164">
        <v>0.05</v>
      </c>
      <c r="G120" s="163">
        <f t="shared" ref="G120" si="127">E120+(E120*F120)</f>
        <v>252</v>
      </c>
      <c r="H120" s="6" t="s">
        <v>119</v>
      </c>
      <c r="I120" s="193">
        <v>2.0250000000000001E-2</v>
      </c>
      <c r="J120" s="3">
        <f t="shared" si="123"/>
        <v>5.1029999999999998</v>
      </c>
      <c r="K120" s="140">
        <v>78.45</v>
      </c>
      <c r="L120" s="126">
        <f t="shared" si="124"/>
        <v>400.33035000000001</v>
      </c>
      <c r="M120" s="126">
        <v>1.8900000000000001</v>
      </c>
      <c r="N120" s="127">
        <f t="shared" si="125"/>
        <v>476.28000000000003</v>
      </c>
      <c r="O120" s="165">
        <f t="shared" si="126"/>
        <v>876.61035000000004</v>
      </c>
      <c r="P120" s="125"/>
    </row>
    <row r="121" spans="1:16" ht="31.5" x14ac:dyDescent="0.2">
      <c r="A121" s="122">
        <f t="shared" si="74"/>
        <v>85</v>
      </c>
      <c r="B121" s="166" t="s">
        <v>138</v>
      </c>
      <c r="C121" s="166" t="s">
        <v>138</v>
      </c>
      <c r="D121" s="167" t="s">
        <v>265</v>
      </c>
      <c r="E121" s="168">
        <v>200</v>
      </c>
      <c r="F121" s="164">
        <v>0.05</v>
      </c>
      <c r="G121" s="163">
        <f t="shared" ref="G121:G122" si="128">E121+(E121*F121)</f>
        <v>210</v>
      </c>
      <c r="H121" s="6" t="s">
        <v>119</v>
      </c>
      <c r="I121" s="193">
        <v>1.9349999999999999E-2</v>
      </c>
      <c r="J121" s="3">
        <f t="shared" si="123"/>
        <v>4.0634999999999994</v>
      </c>
      <c r="K121" s="140">
        <v>78.45</v>
      </c>
      <c r="L121" s="126">
        <f t="shared" si="124"/>
        <v>318.78157499999998</v>
      </c>
      <c r="M121" s="126">
        <v>1.806</v>
      </c>
      <c r="N121" s="127">
        <f t="shared" si="125"/>
        <v>379.26</v>
      </c>
      <c r="O121" s="165">
        <f t="shared" si="126"/>
        <v>698.04157499999997</v>
      </c>
      <c r="P121" s="125"/>
    </row>
    <row r="122" spans="1:16" ht="18" customHeight="1" x14ac:dyDescent="0.2">
      <c r="A122" s="122">
        <f t="shared" si="74"/>
        <v>86</v>
      </c>
      <c r="B122" s="166" t="s">
        <v>143</v>
      </c>
      <c r="C122" s="166" t="s">
        <v>143</v>
      </c>
      <c r="D122" s="167" t="s">
        <v>230</v>
      </c>
      <c r="E122" s="168">
        <v>20</v>
      </c>
      <c r="F122" s="164">
        <v>0.05</v>
      </c>
      <c r="G122" s="163">
        <f t="shared" si="128"/>
        <v>21</v>
      </c>
      <c r="H122" s="6" t="s">
        <v>119</v>
      </c>
      <c r="I122" s="193">
        <v>1.7999999999999999E-2</v>
      </c>
      <c r="J122" s="3">
        <f t="shared" si="123"/>
        <v>0.37799999999999995</v>
      </c>
      <c r="K122" s="140">
        <v>78.45</v>
      </c>
      <c r="L122" s="126">
        <f t="shared" si="124"/>
        <v>29.654099999999996</v>
      </c>
      <c r="M122" s="126">
        <v>1.68</v>
      </c>
      <c r="N122" s="127">
        <f t="shared" si="125"/>
        <v>35.28</v>
      </c>
      <c r="O122" s="165">
        <f t="shared" si="126"/>
        <v>64.934100000000001</v>
      </c>
      <c r="P122" s="125"/>
    </row>
    <row r="123" spans="1:16" ht="31.5" x14ac:dyDescent="0.2">
      <c r="A123" s="122">
        <f t="shared" si="74"/>
        <v>87</v>
      </c>
      <c r="B123" s="166" t="s">
        <v>144</v>
      </c>
      <c r="C123" s="166" t="s">
        <v>159</v>
      </c>
      <c r="D123" s="167" t="s">
        <v>266</v>
      </c>
      <c r="E123" s="168">
        <v>390</v>
      </c>
      <c r="F123" s="164">
        <v>0.05</v>
      </c>
      <c r="G123" s="163">
        <f t="shared" ref="G123" si="129">E123+(E123*F123)</f>
        <v>409.5</v>
      </c>
      <c r="H123" s="6" t="s">
        <v>119</v>
      </c>
      <c r="I123" s="193">
        <v>2.3399999999999997E-2</v>
      </c>
      <c r="J123" s="3">
        <f t="shared" si="123"/>
        <v>9.5822999999999983</v>
      </c>
      <c r="K123" s="140">
        <v>78.45</v>
      </c>
      <c r="L123" s="126">
        <f t="shared" si="124"/>
        <v>751.73143499999992</v>
      </c>
      <c r="M123" s="126">
        <v>2.1840000000000002</v>
      </c>
      <c r="N123" s="127">
        <f t="shared" si="125"/>
        <v>894.34800000000007</v>
      </c>
      <c r="O123" s="165">
        <f t="shared" si="126"/>
        <v>1646.0794350000001</v>
      </c>
      <c r="P123" s="125"/>
    </row>
    <row r="124" spans="1:16" ht="18" customHeight="1" x14ac:dyDescent="0.2">
      <c r="A124" s="122">
        <f t="shared" si="74"/>
        <v>88</v>
      </c>
      <c r="B124" s="166" t="s">
        <v>144</v>
      </c>
      <c r="C124" s="166" t="s">
        <v>159</v>
      </c>
      <c r="D124" s="167" t="s">
        <v>231</v>
      </c>
      <c r="E124" s="168">
        <f>390+440</f>
        <v>830</v>
      </c>
      <c r="F124" s="164">
        <v>0.05</v>
      </c>
      <c r="G124" s="163">
        <f t="shared" ref="G124" si="130">E124+(E124*F124)</f>
        <v>871.5</v>
      </c>
      <c r="H124" s="6" t="s">
        <v>119</v>
      </c>
      <c r="I124" s="193">
        <v>2.01E-2</v>
      </c>
      <c r="J124" s="3">
        <f t="shared" si="123"/>
        <v>17.517150000000001</v>
      </c>
      <c r="K124" s="140">
        <v>78.45</v>
      </c>
      <c r="L124" s="126">
        <f t="shared" si="124"/>
        <v>1374.2204175000002</v>
      </c>
      <c r="M124" s="126">
        <v>1.8760000000000001</v>
      </c>
      <c r="N124" s="127">
        <f t="shared" si="125"/>
        <v>1634.9340000000002</v>
      </c>
      <c r="O124" s="165">
        <f t="shared" si="126"/>
        <v>3009.1544175000004</v>
      </c>
      <c r="P124" s="125"/>
    </row>
    <row r="125" spans="1:16" ht="15.75" x14ac:dyDescent="0.2">
      <c r="A125" s="122" t="str">
        <f t="shared" si="74"/>
        <v/>
      </c>
      <c r="B125" s="166"/>
      <c r="C125" s="166"/>
      <c r="D125" s="167" t="s">
        <v>187</v>
      </c>
      <c r="E125" s="168"/>
      <c r="F125" s="164"/>
      <c r="G125" s="163"/>
      <c r="H125" s="6"/>
      <c r="I125" s="193"/>
      <c r="J125" s="3"/>
      <c r="K125" s="161"/>
      <c r="L125" s="143"/>
      <c r="M125" s="143"/>
      <c r="N125" s="162"/>
      <c r="O125" s="165"/>
      <c r="P125" s="125"/>
    </row>
    <row r="126" spans="1:16" ht="18" customHeight="1" x14ac:dyDescent="0.2">
      <c r="A126" s="122">
        <f t="shared" si="74"/>
        <v>89</v>
      </c>
      <c r="B126" s="166" t="s">
        <v>138</v>
      </c>
      <c r="C126" s="166" t="s">
        <v>157</v>
      </c>
      <c r="D126" s="167" t="s">
        <v>232</v>
      </c>
      <c r="E126" s="168">
        <v>190</v>
      </c>
      <c r="F126" s="164">
        <v>0.05</v>
      </c>
      <c r="G126" s="163">
        <f t="shared" ref="G126:G127" si="131">E126+(E126*F126)</f>
        <v>199.5</v>
      </c>
      <c r="H126" s="6" t="s">
        <v>119</v>
      </c>
      <c r="I126" s="193">
        <v>1.89E-2</v>
      </c>
      <c r="J126" s="3">
        <f t="shared" ref="J126:J127" si="132">I126*G126</f>
        <v>3.7705500000000001</v>
      </c>
      <c r="K126" s="140">
        <v>78.45</v>
      </c>
      <c r="L126" s="126">
        <f t="shared" ref="L126:L127" si="133">K126*J126</f>
        <v>295.79964749999999</v>
      </c>
      <c r="M126" s="126">
        <v>1.764</v>
      </c>
      <c r="N126" s="127">
        <f t="shared" ref="N126:N127" si="134">M126*G126</f>
        <v>351.91800000000001</v>
      </c>
      <c r="O126" s="165">
        <f t="shared" ref="O126:O127" si="135">L126+N126</f>
        <v>647.7176475</v>
      </c>
      <c r="P126" s="125"/>
    </row>
    <row r="127" spans="1:16" ht="18" customHeight="1" x14ac:dyDescent="0.2">
      <c r="A127" s="122">
        <f t="shared" si="74"/>
        <v>90</v>
      </c>
      <c r="B127" s="166" t="s">
        <v>156</v>
      </c>
      <c r="C127" s="166" t="s">
        <v>157</v>
      </c>
      <c r="D127" s="167" t="s">
        <v>233</v>
      </c>
      <c r="E127" s="168">
        <f>190+15*38+2*44+4*40</f>
        <v>1008</v>
      </c>
      <c r="F127" s="164">
        <v>0.05</v>
      </c>
      <c r="G127" s="163">
        <f t="shared" si="131"/>
        <v>1058.4000000000001</v>
      </c>
      <c r="H127" s="6" t="s">
        <v>119</v>
      </c>
      <c r="I127" s="193">
        <v>1.7999999999999999E-2</v>
      </c>
      <c r="J127" s="3">
        <f t="shared" si="132"/>
        <v>19.051200000000001</v>
      </c>
      <c r="K127" s="140">
        <v>78.45</v>
      </c>
      <c r="L127" s="126">
        <f t="shared" si="133"/>
        <v>1494.5666400000002</v>
      </c>
      <c r="M127" s="126">
        <v>1.68</v>
      </c>
      <c r="N127" s="127">
        <f t="shared" si="134"/>
        <v>1778.1120000000001</v>
      </c>
      <c r="O127" s="165">
        <f t="shared" si="135"/>
        <v>3272.6786400000001</v>
      </c>
      <c r="P127" s="125"/>
    </row>
    <row r="128" spans="1:16" ht="15.75" x14ac:dyDescent="0.2">
      <c r="A128" s="122" t="str">
        <f t="shared" si="74"/>
        <v/>
      </c>
      <c r="B128" s="166"/>
      <c r="C128" s="166"/>
      <c r="D128" s="167" t="s">
        <v>187</v>
      </c>
      <c r="E128" s="168"/>
      <c r="F128" s="164"/>
      <c r="G128" s="163"/>
      <c r="H128" s="6"/>
      <c r="I128" s="193"/>
      <c r="J128" s="3"/>
      <c r="K128" s="161"/>
      <c r="L128" s="143"/>
      <c r="M128" s="143"/>
      <c r="N128" s="162"/>
      <c r="O128" s="165"/>
      <c r="P128" s="125"/>
    </row>
    <row r="129" spans="1:16" ht="18" customHeight="1" x14ac:dyDescent="0.2">
      <c r="A129" s="122">
        <f t="shared" si="74"/>
        <v>91</v>
      </c>
      <c r="B129" s="166" t="s">
        <v>138</v>
      </c>
      <c r="C129" s="166" t="s">
        <v>158</v>
      </c>
      <c r="D129" s="167" t="s">
        <v>234</v>
      </c>
      <c r="E129" s="168">
        <v>1025</v>
      </c>
      <c r="F129" s="164">
        <v>0.05</v>
      </c>
      <c r="G129" s="163">
        <f t="shared" ref="G129:G130" si="136">E129+(E129*F129)</f>
        <v>1076.25</v>
      </c>
      <c r="H129" s="6" t="s">
        <v>119</v>
      </c>
      <c r="I129" s="193">
        <v>1.89E-2</v>
      </c>
      <c r="J129" s="3">
        <f t="shared" ref="J129:J130" si="137">I129*G129</f>
        <v>20.341125000000002</v>
      </c>
      <c r="K129" s="140">
        <v>78.45</v>
      </c>
      <c r="L129" s="126">
        <f t="shared" ref="L129:L130" si="138">K129*J129</f>
        <v>1595.7612562500001</v>
      </c>
      <c r="M129" s="126">
        <v>1.764</v>
      </c>
      <c r="N129" s="127">
        <f t="shared" ref="N129:N130" si="139">M129*G129</f>
        <v>1898.5050000000001</v>
      </c>
      <c r="O129" s="165">
        <f t="shared" ref="O129:O130" si="140">L129+N129</f>
        <v>3494.26625625</v>
      </c>
      <c r="P129" s="125"/>
    </row>
    <row r="130" spans="1:16" ht="18" customHeight="1" x14ac:dyDescent="0.2">
      <c r="A130" s="122">
        <f t="shared" si="74"/>
        <v>92</v>
      </c>
      <c r="B130" s="166" t="s">
        <v>138</v>
      </c>
      <c r="C130" s="166" t="s">
        <v>158</v>
      </c>
      <c r="D130" s="167" t="s">
        <v>235</v>
      </c>
      <c r="E130" s="168">
        <v>1025</v>
      </c>
      <c r="F130" s="164">
        <v>0.05</v>
      </c>
      <c r="G130" s="163">
        <f t="shared" si="136"/>
        <v>1076.25</v>
      </c>
      <c r="H130" s="6" t="s">
        <v>119</v>
      </c>
      <c r="I130" s="193">
        <v>1.7999999999999999E-2</v>
      </c>
      <c r="J130" s="3">
        <f t="shared" si="137"/>
        <v>19.372499999999999</v>
      </c>
      <c r="K130" s="140">
        <v>78.45</v>
      </c>
      <c r="L130" s="126">
        <f t="shared" si="138"/>
        <v>1519.7726250000001</v>
      </c>
      <c r="M130" s="126">
        <v>1.68</v>
      </c>
      <c r="N130" s="127">
        <f t="shared" si="139"/>
        <v>1808.1</v>
      </c>
      <c r="O130" s="165">
        <f t="shared" si="140"/>
        <v>3327.872625</v>
      </c>
      <c r="P130" s="125"/>
    </row>
    <row r="131" spans="1:16" ht="15.75" x14ac:dyDescent="0.2">
      <c r="A131" s="122" t="str">
        <f t="shared" si="74"/>
        <v/>
      </c>
      <c r="B131" s="166"/>
      <c r="C131" s="166"/>
      <c r="D131" s="167"/>
      <c r="E131" s="168"/>
      <c r="F131" s="164"/>
      <c r="G131" s="163"/>
      <c r="H131" s="6"/>
      <c r="I131" s="193"/>
      <c r="J131" s="3"/>
      <c r="K131" s="161"/>
      <c r="L131" s="143"/>
      <c r="M131" s="143"/>
      <c r="N131" s="162"/>
      <c r="O131" s="165"/>
      <c r="P131" s="125"/>
    </row>
    <row r="132" spans="1:16" ht="18.75" x14ac:dyDescent="0.2">
      <c r="A132" s="122" t="str">
        <f t="shared" si="74"/>
        <v/>
      </c>
      <c r="B132" s="166"/>
      <c r="C132" s="166"/>
      <c r="D132" s="169" t="s">
        <v>142</v>
      </c>
      <c r="E132" s="168"/>
      <c r="F132" s="164"/>
      <c r="G132" s="163"/>
      <c r="H132" s="6"/>
      <c r="I132" s="193"/>
      <c r="J132" s="3"/>
      <c r="K132" s="161"/>
      <c r="L132" s="143"/>
      <c r="M132" s="143"/>
      <c r="N132" s="162"/>
      <c r="O132" s="165"/>
      <c r="P132" s="125"/>
    </row>
    <row r="133" spans="1:16" ht="15.75" x14ac:dyDescent="0.2">
      <c r="A133" s="122" t="str">
        <f t="shared" si="74"/>
        <v/>
      </c>
      <c r="B133" s="166"/>
      <c r="C133" s="166"/>
      <c r="D133" s="167"/>
      <c r="E133" s="168"/>
      <c r="F133" s="164"/>
      <c r="G133" s="163"/>
      <c r="H133" s="6"/>
      <c r="I133" s="193"/>
      <c r="J133" s="3"/>
      <c r="K133" s="161"/>
      <c r="L133" s="143"/>
      <c r="M133" s="143"/>
      <c r="N133" s="162"/>
      <c r="O133" s="165"/>
      <c r="P133" s="125"/>
    </row>
    <row r="134" spans="1:16" ht="18" customHeight="1" x14ac:dyDescent="0.2">
      <c r="A134" s="122" t="str">
        <f t="shared" si="74"/>
        <v/>
      </c>
      <c r="B134" s="166"/>
      <c r="C134" s="166"/>
      <c r="D134" s="171" t="s">
        <v>180</v>
      </c>
      <c r="E134" s="168"/>
      <c r="F134" s="164"/>
      <c r="G134" s="163"/>
      <c r="H134" s="6"/>
      <c r="I134" s="193"/>
      <c r="J134" s="3"/>
      <c r="K134" s="161"/>
      <c r="L134" s="143"/>
      <c r="M134" s="143"/>
      <c r="N134" s="162"/>
      <c r="O134" s="165"/>
      <c r="P134" s="125"/>
    </row>
    <row r="135" spans="1:16" ht="18" customHeight="1" x14ac:dyDescent="0.2">
      <c r="A135" s="122">
        <f t="shared" si="74"/>
        <v>93</v>
      </c>
      <c r="B135" s="166" t="s">
        <v>145</v>
      </c>
      <c r="C135" s="166" t="s">
        <v>146</v>
      </c>
      <c r="D135" s="167" t="s">
        <v>236</v>
      </c>
      <c r="E135" s="168">
        <f>2*2*19+2*5*6</f>
        <v>136</v>
      </c>
      <c r="F135" s="164">
        <v>0.05</v>
      </c>
      <c r="G135" s="163">
        <f t="shared" ref="G135" si="141">E135+(E135*F135)</f>
        <v>142.80000000000001</v>
      </c>
      <c r="H135" s="6" t="s">
        <v>120</v>
      </c>
      <c r="I135" s="193">
        <v>2.085E-2</v>
      </c>
      <c r="J135" s="3">
        <f t="shared" ref="J135:J139" si="142">I135*G135</f>
        <v>2.9773800000000001</v>
      </c>
      <c r="K135" s="140">
        <v>78.45</v>
      </c>
      <c r="L135" s="126">
        <f t="shared" ref="L135:L139" si="143">K135*J135</f>
        <v>233.57546100000002</v>
      </c>
      <c r="M135" s="126">
        <v>1.9459999999999997</v>
      </c>
      <c r="N135" s="127">
        <f t="shared" ref="N135:N139" si="144">M135*G135</f>
        <v>277.8888</v>
      </c>
      <c r="O135" s="165">
        <f t="shared" ref="O135:O139" si="145">L135+N135</f>
        <v>511.46426100000002</v>
      </c>
      <c r="P135" s="125"/>
    </row>
    <row r="136" spans="1:16" ht="18" customHeight="1" x14ac:dyDescent="0.2">
      <c r="A136" s="122">
        <f t="shared" si="74"/>
        <v>94</v>
      </c>
      <c r="B136" s="166" t="s">
        <v>145</v>
      </c>
      <c r="C136" s="166" t="s">
        <v>146</v>
      </c>
      <c r="D136" s="167" t="s">
        <v>237</v>
      </c>
      <c r="E136" s="168">
        <f>2*25</f>
        <v>50</v>
      </c>
      <c r="F136" s="164">
        <v>0.05</v>
      </c>
      <c r="G136" s="163">
        <f t="shared" ref="G136" si="146">E136+(E136*F136)</f>
        <v>52.5</v>
      </c>
      <c r="H136" s="6" t="s">
        <v>119</v>
      </c>
      <c r="I136" s="193">
        <v>1.95E-2</v>
      </c>
      <c r="J136" s="3">
        <f t="shared" si="142"/>
        <v>1.0237499999999999</v>
      </c>
      <c r="K136" s="140">
        <v>78.45</v>
      </c>
      <c r="L136" s="126">
        <f t="shared" si="143"/>
        <v>80.313187499999998</v>
      </c>
      <c r="M136" s="126">
        <v>1.82</v>
      </c>
      <c r="N136" s="127">
        <f t="shared" si="144"/>
        <v>95.55</v>
      </c>
      <c r="O136" s="165">
        <f t="shared" si="145"/>
        <v>175.86318749999998</v>
      </c>
      <c r="P136" s="125"/>
    </row>
    <row r="137" spans="1:16" ht="18" customHeight="1" x14ac:dyDescent="0.2">
      <c r="A137" s="122">
        <f t="shared" si="74"/>
        <v>95</v>
      </c>
      <c r="B137" s="166" t="s">
        <v>145</v>
      </c>
      <c r="C137" s="166" t="s">
        <v>146</v>
      </c>
      <c r="D137" s="167" t="s">
        <v>238</v>
      </c>
      <c r="E137" s="168">
        <v>25</v>
      </c>
      <c r="F137" s="164">
        <v>0.05</v>
      </c>
      <c r="G137" s="163">
        <f t="shared" ref="G137" si="147">E137+(E137*F137)</f>
        <v>26.25</v>
      </c>
      <c r="H137" s="6" t="s">
        <v>119</v>
      </c>
      <c r="I137" s="193">
        <v>2.4375000000000001E-2</v>
      </c>
      <c r="J137" s="3">
        <f t="shared" si="142"/>
        <v>0.63984375000000004</v>
      </c>
      <c r="K137" s="140">
        <v>78.45</v>
      </c>
      <c r="L137" s="126">
        <f t="shared" si="143"/>
        <v>50.195742187500002</v>
      </c>
      <c r="M137" s="126">
        <v>2.2749999999999999</v>
      </c>
      <c r="N137" s="127">
        <f t="shared" si="144"/>
        <v>59.71875</v>
      </c>
      <c r="O137" s="165">
        <f t="shared" si="145"/>
        <v>109.9144921875</v>
      </c>
      <c r="P137" s="125"/>
    </row>
    <row r="138" spans="1:16" ht="18" customHeight="1" x14ac:dyDescent="0.2">
      <c r="A138" s="122">
        <f t="shared" si="74"/>
        <v>96</v>
      </c>
      <c r="B138" s="166" t="s">
        <v>145</v>
      </c>
      <c r="C138" s="166" t="s">
        <v>146</v>
      </c>
      <c r="D138" s="167" t="s">
        <v>239</v>
      </c>
      <c r="E138" s="168">
        <v>25</v>
      </c>
      <c r="F138" s="164">
        <v>0.05</v>
      </c>
      <c r="G138" s="163">
        <f t="shared" ref="G138" si="148">E138+(E138*F138)</f>
        <v>26.25</v>
      </c>
      <c r="H138" s="6" t="s">
        <v>119</v>
      </c>
      <c r="I138" s="193">
        <v>2.4375000000000001E-2</v>
      </c>
      <c r="J138" s="3">
        <f t="shared" si="142"/>
        <v>0.63984375000000004</v>
      </c>
      <c r="K138" s="140">
        <v>78.45</v>
      </c>
      <c r="L138" s="126">
        <f t="shared" si="143"/>
        <v>50.195742187500002</v>
      </c>
      <c r="M138" s="126">
        <v>2.2749999999999999</v>
      </c>
      <c r="N138" s="127">
        <f t="shared" si="144"/>
        <v>59.71875</v>
      </c>
      <c r="O138" s="165">
        <f t="shared" si="145"/>
        <v>109.9144921875</v>
      </c>
      <c r="P138" s="125"/>
    </row>
    <row r="139" spans="1:16" ht="18" customHeight="1" x14ac:dyDescent="0.2">
      <c r="A139" s="122">
        <f t="shared" si="74"/>
        <v>97</v>
      </c>
      <c r="B139" s="166" t="s">
        <v>145</v>
      </c>
      <c r="C139" s="166" t="s">
        <v>146</v>
      </c>
      <c r="D139" s="167" t="s">
        <v>269</v>
      </c>
      <c r="E139" s="168">
        <f>2*4*5+2*10*2</f>
        <v>80</v>
      </c>
      <c r="F139" s="164">
        <v>0.05</v>
      </c>
      <c r="G139" s="163">
        <f t="shared" ref="G139" si="149">E139+(E139*F139)</f>
        <v>84</v>
      </c>
      <c r="H139" s="6" t="s">
        <v>119</v>
      </c>
      <c r="I139" s="193">
        <v>1.9650000000000001E-2</v>
      </c>
      <c r="J139" s="3">
        <f t="shared" si="142"/>
        <v>1.6506000000000001</v>
      </c>
      <c r="K139" s="140">
        <v>78.45</v>
      </c>
      <c r="L139" s="126">
        <f t="shared" si="143"/>
        <v>129.48957000000001</v>
      </c>
      <c r="M139" s="126">
        <v>1.8340000000000001</v>
      </c>
      <c r="N139" s="127">
        <f t="shared" si="144"/>
        <v>154.05600000000001</v>
      </c>
      <c r="O139" s="165">
        <f t="shared" si="145"/>
        <v>283.54557</v>
      </c>
      <c r="P139" s="125"/>
    </row>
    <row r="140" spans="1:16" ht="15.75" customHeight="1" thickBot="1" x14ac:dyDescent="0.3">
      <c r="A140" s="122" t="str">
        <f t="shared" ref="A140" si="150">IF(H140&lt;&gt;"",1+MAX(A128:A139),"")</f>
        <v/>
      </c>
      <c r="B140" s="166"/>
      <c r="C140" s="166"/>
      <c r="D140" s="170"/>
      <c r="E140" s="168"/>
      <c r="F140" s="164"/>
      <c r="G140" s="163"/>
      <c r="H140" s="6"/>
      <c r="I140" s="3"/>
      <c r="J140" s="3"/>
      <c r="K140" s="140"/>
      <c r="L140" s="126"/>
      <c r="M140" s="126"/>
      <c r="N140" s="127"/>
      <c r="O140" s="165"/>
      <c r="P140" s="125"/>
    </row>
    <row r="141" spans="1:16" ht="16.5" thickBot="1" x14ac:dyDescent="0.25">
      <c r="A141" s="121" t="str">
        <f>IF(H141&lt;&gt;"",1+MAX(#REF!),"")</f>
        <v/>
      </c>
      <c r="B141" s="166"/>
      <c r="C141" s="166"/>
      <c r="D141" s="129" t="s">
        <v>17</v>
      </c>
      <c r="E141" s="130"/>
      <c r="F141" s="131"/>
      <c r="G141" s="130"/>
      <c r="H141" s="132"/>
      <c r="I141" s="139"/>
      <c r="J141" s="139"/>
      <c r="K141" s="149" t="str">
        <f t="shared" ref="K141" si="151">IF(H141&lt;&gt;"",45.5,"")</f>
        <v/>
      </c>
      <c r="L141" s="145" t="str">
        <f t="shared" ref="L141" si="152">IF(H141&lt;&gt;"",I141*K141,"")</f>
        <v/>
      </c>
      <c r="M141" s="145"/>
      <c r="N141" s="146"/>
      <c r="O141" s="147"/>
      <c r="P141" s="148">
        <f>SUM(O15:O140)</f>
        <v>336330.48897671199</v>
      </c>
    </row>
    <row r="142" spans="1:16" ht="16.5" thickBot="1" x14ac:dyDescent="0.25">
      <c r="A142" s="194" t="s">
        <v>18</v>
      </c>
      <c r="B142" s="195"/>
      <c r="C142" s="195"/>
      <c r="D142" s="195"/>
      <c r="E142" s="195"/>
      <c r="F142" s="195"/>
      <c r="G142" s="195"/>
      <c r="H142" s="195"/>
      <c r="I142" s="195"/>
      <c r="J142" s="195"/>
      <c r="K142" s="196"/>
      <c r="L142" s="160">
        <f>SUM(L6:L141)</f>
        <v>153173.52568241215</v>
      </c>
      <c r="M142" s="141"/>
      <c r="N142" s="160">
        <f>SUM(N6:N141)</f>
        <v>183156.96329430008</v>
      </c>
      <c r="O142" s="142">
        <f>SUM(O6:O141)</f>
        <v>336330.48897671199</v>
      </c>
      <c r="P142" s="142">
        <f>SUM(P6:P141)</f>
        <v>336330.48897671199</v>
      </c>
    </row>
    <row r="143" spans="1:16" ht="16.5" thickBot="1" x14ac:dyDescent="0.25">
      <c r="A143" s="194" t="s">
        <v>19</v>
      </c>
      <c r="B143" s="195"/>
      <c r="C143" s="195"/>
      <c r="D143" s="195"/>
      <c r="E143" s="195"/>
      <c r="F143" s="195"/>
      <c r="G143" s="195"/>
      <c r="H143" s="195"/>
      <c r="I143" s="195"/>
      <c r="J143" s="195"/>
      <c r="K143" s="195"/>
      <c r="L143" s="195"/>
      <c r="M143" s="196"/>
      <c r="N143" s="124">
        <v>8.5000000000000006E-2</v>
      </c>
      <c r="O143" s="123"/>
      <c r="P143" s="123">
        <f>P142*N143</f>
        <v>28588.09156302052</v>
      </c>
    </row>
    <row r="144" spans="1:16" ht="16.5" thickBot="1" x14ac:dyDescent="0.25">
      <c r="A144" s="194" t="s">
        <v>20</v>
      </c>
      <c r="B144" s="195"/>
      <c r="C144" s="195"/>
      <c r="D144" s="195"/>
      <c r="E144" s="195"/>
      <c r="F144" s="195"/>
      <c r="G144" s="195"/>
      <c r="H144" s="195"/>
      <c r="I144" s="195"/>
      <c r="J144" s="195"/>
      <c r="K144" s="195"/>
      <c r="L144" s="195"/>
      <c r="M144" s="196"/>
      <c r="N144" s="128">
        <v>0.1</v>
      </c>
      <c r="O144" s="123"/>
      <c r="P144" s="123">
        <f>P142*N144</f>
        <v>33633.0488976712</v>
      </c>
    </row>
    <row r="145" spans="1:16" ht="16.5" thickBot="1" x14ac:dyDescent="0.25">
      <c r="A145" s="194" t="s">
        <v>21</v>
      </c>
      <c r="B145" s="195"/>
      <c r="C145" s="195"/>
      <c r="D145" s="195"/>
      <c r="E145" s="195"/>
      <c r="F145" s="195"/>
      <c r="G145" s="195"/>
      <c r="H145" s="195"/>
      <c r="I145" s="195"/>
      <c r="J145" s="195"/>
      <c r="K145" s="195"/>
      <c r="L145" s="195"/>
      <c r="M145" s="196"/>
      <c r="N145" s="128">
        <v>0.05</v>
      </c>
      <c r="O145" s="123"/>
      <c r="P145" s="123">
        <f>P142*N145</f>
        <v>16816.5244488356</v>
      </c>
    </row>
    <row r="146" spans="1:16" ht="16.5" thickBot="1" x14ac:dyDescent="0.25">
      <c r="A146" s="194" t="s">
        <v>67</v>
      </c>
      <c r="B146" s="195"/>
      <c r="C146" s="195"/>
      <c r="D146" s="195"/>
      <c r="E146" s="195"/>
      <c r="F146" s="195"/>
      <c r="G146" s="195"/>
      <c r="H146" s="195"/>
      <c r="I146" s="195"/>
      <c r="J146" s="195"/>
      <c r="K146" s="195"/>
      <c r="L146" s="195"/>
      <c r="M146" s="195"/>
      <c r="N146" s="195"/>
      <c r="O146" s="196"/>
      <c r="P146" s="142">
        <f>SUM(P142:P145)</f>
        <v>415368.15388623934</v>
      </c>
    </row>
    <row r="147" spans="1:16" ht="16.5" thickBot="1" x14ac:dyDescent="0.25">
      <c r="A147" s="218" t="s">
        <v>110</v>
      </c>
      <c r="B147" s="219"/>
      <c r="C147" s="219"/>
      <c r="D147" s="219"/>
      <c r="E147" s="219"/>
      <c r="F147" s="219"/>
      <c r="G147" s="219"/>
      <c r="H147" s="219"/>
      <c r="I147" s="219"/>
      <c r="J147" s="219"/>
      <c r="K147" s="219"/>
      <c r="L147" s="219"/>
      <c r="M147" s="219"/>
      <c r="N147" s="219"/>
      <c r="O147" s="219"/>
      <c r="P147" s="220"/>
    </row>
    <row r="148" spans="1:16" ht="16.5" thickBot="1" x14ac:dyDescent="0.25">
      <c r="A148" s="221" t="s">
        <v>109</v>
      </c>
      <c r="B148" s="222"/>
      <c r="C148" s="222"/>
      <c r="D148" s="222"/>
      <c r="E148" s="222"/>
      <c r="F148" s="222"/>
      <c r="G148" s="222"/>
      <c r="H148" s="222"/>
      <c r="I148" s="222"/>
      <c r="J148" s="222"/>
      <c r="K148" s="222"/>
      <c r="L148" s="222"/>
      <c r="M148" s="222"/>
      <c r="N148" s="222"/>
      <c r="O148" s="222"/>
      <c r="P148" s="223"/>
    </row>
  </sheetData>
  <mergeCells count="11">
    <mergeCell ref="A144:M144"/>
    <mergeCell ref="A145:M145"/>
    <mergeCell ref="A146:O146"/>
    <mergeCell ref="A147:P147"/>
    <mergeCell ref="A148:P148"/>
    <mergeCell ref="A143:M143"/>
    <mergeCell ref="A1:B4"/>
    <mergeCell ref="C1:M2"/>
    <mergeCell ref="N1:P4"/>
    <mergeCell ref="C3:M4"/>
    <mergeCell ref="A142:K142"/>
  </mergeCells>
  <pageMargins left="0.7" right="0.7" top="0.75" bottom="0.75" header="0.3" footer="0.3"/>
  <pageSetup scale="1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1"/>
  <sheetViews>
    <sheetView view="pageBreakPreview" zoomScale="85" zoomScaleNormal="85" zoomScaleSheetLayoutView="85" workbookViewId="0">
      <pane ySplit="7" topLeftCell="A8" activePane="bottomLeft" state="frozen"/>
      <selection pane="bottomLeft" activeCell="E15" sqref="E15"/>
    </sheetView>
  </sheetViews>
  <sheetFormatPr defaultColWidth="9.6640625" defaultRowHeight="15.75" x14ac:dyDescent="0.2"/>
  <cols>
    <col min="1" max="1" width="7.109375" style="23" customWidth="1"/>
    <col min="2" max="2" width="8.109375" style="23" customWidth="1"/>
    <col min="3" max="3" width="38.21875" style="67" customWidth="1"/>
    <col min="4" max="5" width="8.109375" style="68" customWidth="1"/>
    <col min="6" max="6" width="13.109375" style="68" customWidth="1"/>
    <col min="7" max="7" width="6.5546875" style="23" customWidth="1"/>
    <col min="8" max="8" width="10.5546875" style="67" customWidth="1"/>
    <col min="9" max="9" width="11.109375" style="66" customWidth="1"/>
    <col min="10" max="10" width="36.109375" style="64" bestFit="1" customWidth="1"/>
    <col min="11" max="16384" width="9.6640625" style="64"/>
  </cols>
  <sheetData>
    <row r="1" spans="1:16" x14ac:dyDescent="0.2">
      <c r="C1" s="60"/>
      <c r="D1" s="61"/>
      <c r="E1" s="61"/>
      <c r="F1" s="61"/>
      <c r="G1" s="61"/>
      <c r="H1" s="62"/>
      <c r="I1" s="63"/>
    </row>
    <row r="2" spans="1:16" x14ac:dyDescent="0.2">
      <c r="C2" s="65" t="s">
        <v>22</v>
      </c>
      <c r="D2" s="60" t="s">
        <v>23</v>
      </c>
      <c r="E2" s="61"/>
      <c r="F2" s="61"/>
      <c r="G2" s="61"/>
      <c r="H2" s="64"/>
      <c r="I2" s="63"/>
    </row>
    <row r="3" spans="1:16" x14ac:dyDescent="0.2">
      <c r="C3" s="65" t="s">
        <v>24</v>
      </c>
      <c r="D3" s="60" t="s">
        <v>25</v>
      </c>
      <c r="E3" s="61"/>
      <c r="F3" s="61"/>
      <c r="G3" s="61"/>
      <c r="H3" s="64"/>
      <c r="I3" s="63"/>
    </row>
    <row r="4" spans="1:16" x14ac:dyDescent="0.2">
      <c r="C4" s="64"/>
      <c r="D4" s="60" t="s">
        <v>26</v>
      </c>
      <c r="E4" s="61"/>
      <c r="F4" s="61"/>
      <c r="G4" s="61"/>
      <c r="H4" s="64"/>
      <c r="I4" s="63"/>
    </row>
    <row r="5" spans="1:16" x14ac:dyDescent="0.2">
      <c r="C5" s="61"/>
      <c r="D5" s="61"/>
      <c r="E5" s="61"/>
      <c r="F5" s="61"/>
      <c r="H5" s="60"/>
    </row>
    <row r="6" spans="1:16" x14ac:dyDescent="0.2">
      <c r="G6" s="64"/>
      <c r="H6" s="69" t="s">
        <v>27</v>
      </c>
      <c r="I6" s="70">
        <f ca="1">TODAY()</f>
        <v>46231</v>
      </c>
    </row>
    <row r="7" spans="1:16" s="74" customFormat="1" x14ac:dyDescent="0.2">
      <c r="A7" s="24" t="s">
        <v>0</v>
      </c>
      <c r="B7" s="117" t="s">
        <v>28</v>
      </c>
      <c r="C7" s="71" t="s">
        <v>3</v>
      </c>
      <c r="D7" s="71" t="s">
        <v>4</v>
      </c>
      <c r="E7" s="71" t="s">
        <v>5</v>
      </c>
      <c r="F7" s="71" t="s">
        <v>6</v>
      </c>
      <c r="G7" s="72" t="s">
        <v>7</v>
      </c>
      <c r="H7" s="71" t="s">
        <v>29</v>
      </c>
      <c r="I7" s="73" t="s">
        <v>8</v>
      </c>
      <c r="L7" s="224" t="s">
        <v>30</v>
      </c>
      <c r="M7" s="224"/>
    </row>
    <row r="8" spans="1:16" x14ac:dyDescent="0.2">
      <c r="A8" s="58"/>
      <c r="B8" s="118"/>
      <c r="C8" s="75" t="s">
        <v>31</v>
      </c>
      <c r="D8" s="76"/>
      <c r="E8" s="76"/>
      <c r="F8" s="76"/>
      <c r="G8" s="77"/>
      <c r="H8" s="78"/>
      <c r="I8" s="79"/>
      <c r="L8" s="80" t="s">
        <v>32</v>
      </c>
      <c r="M8" s="80" t="s">
        <v>33</v>
      </c>
    </row>
    <row r="9" spans="1:16" ht="31.5" x14ac:dyDescent="0.2">
      <c r="A9" s="59">
        <v>1</v>
      </c>
      <c r="B9" s="84" t="s">
        <v>34</v>
      </c>
      <c r="C9" s="81" t="s">
        <v>35</v>
      </c>
      <c r="D9" s="82">
        <v>11635</v>
      </c>
      <c r="E9" s="83">
        <v>0.1</v>
      </c>
      <c r="F9" s="82">
        <f>D9*(1+E9)</f>
        <v>12798.500000000002</v>
      </c>
      <c r="G9" s="84" t="s">
        <v>36</v>
      </c>
      <c r="H9" s="85">
        <v>4</v>
      </c>
      <c r="I9" s="86">
        <f>H9*F9</f>
        <v>51194.000000000007</v>
      </c>
      <c r="J9" s="64" t="s">
        <v>37</v>
      </c>
      <c r="K9" s="23" t="s">
        <v>38</v>
      </c>
      <c r="L9" s="80">
        <f>2520-80</f>
        <v>2440</v>
      </c>
      <c r="M9" s="80">
        <v>280</v>
      </c>
      <c r="N9" s="64">
        <f>(2440*2+290*2+2345+3830)</f>
        <v>11635</v>
      </c>
    </row>
    <row r="10" spans="1:16" ht="31.5" x14ac:dyDescent="0.2">
      <c r="A10" s="28">
        <v>2</v>
      </c>
      <c r="B10" s="23" t="s">
        <v>34</v>
      </c>
      <c r="C10" s="87" t="s">
        <v>39</v>
      </c>
      <c r="D10" s="88">
        <v>1185</v>
      </c>
      <c r="E10" s="89">
        <v>0.1</v>
      </c>
      <c r="F10" s="88">
        <f>D10*(1+E10)</f>
        <v>1303.5</v>
      </c>
      <c r="G10" s="23" t="s">
        <v>36</v>
      </c>
      <c r="H10" s="90">
        <v>4.5</v>
      </c>
      <c r="I10" s="91">
        <f>H10*F10</f>
        <v>5865.75</v>
      </c>
      <c r="J10" s="64" t="s">
        <v>40</v>
      </c>
      <c r="K10" s="23" t="s">
        <v>41</v>
      </c>
      <c r="L10" s="80">
        <f>210-80</f>
        <v>130</v>
      </c>
      <c r="M10" s="80">
        <v>80</v>
      </c>
      <c r="N10" s="64">
        <f>(280*2+325+300)</f>
        <v>1185</v>
      </c>
    </row>
    <row r="11" spans="1:16" ht="31.5" x14ac:dyDescent="0.2">
      <c r="A11" s="28">
        <v>3</v>
      </c>
      <c r="B11" s="23" t="s">
        <v>34</v>
      </c>
      <c r="C11" s="87" t="s">
        <v>42</v>
      </c>
      <c r="D11" s="88">
        <v>260</v>
      </c>
      <c r="E11" s="89">
        <v>0.1</v>
      </c>
      <c r="F11" s="88">
        <f t="shared" ref="F11:F19" si="0">D11*(1+E11)</f>
        <v>286</v>
      </c>
      <c r="G11" s="23" t="s">
        <v>36</v>
      </c>
      <c r="H11" s="90">
        <v>4.5</v>
      </c>
      <c r="I11" s="91">
        <f>H11*F11</f>
        <v>1287</v>
      </c>
      <c r="J11" s="64" t="s">
        <v>41</v>
      </c>
      <c r="K11" s="23" t="s">
        <v>43</v>
      </c>
      <c r="L11" s="80"/>
      <c r="M11" s="80"/>
      <c r="N11" s="64">
        <f>130*2</f>
        <v>260</v>
      </c>
    </row>
    <row r="12" spans="1:16" ht="31.5" x14ac:dyDescent="0.2">
      <c r="A12" s="28">
        <v>4</v>
      </c>
      <c r="B12" s="23" t="s">
        <v>34</v>
      </c>
      <c r="C12" s="92" t="s">
        <v>44</v>
      </c>
      <c r="D12" s="88">
        <v>160</v>
      </c>
      <c r="E12" s="89">
        <v>0.1</v>
      </c>
      <c r="F12" s="88">
        <f t="shared" si="0"/>
        <v>176</v>
      </c>
      <c r="G12" s="23" t="s">
        <v>36</v>
      </c>
      <c r="H12" s="90">
        <v>5</v>
      </c>
      <c r="I12" s="91">
        <f t="shared" ref="I12:I16" si="1">H12*F12</f>
        <v>880</v>
      </c>
      <c r="J12" s="64" t="s">
        <v>41</v>
      </c>
      <c r="K12" s="23" t="s">
        <v>45</v>
      </c>
      <c r="L12" s="80">
        <v>290</v>
      </c>
      <c r="M12" s="80"/>
      <c r="N12" s="64">
        <f>80*2</f>
        <v>160</v>
      </c>
    </row>
    <row r="13" spans="1:16" s="95" customFormat="1" ht="31.5" x14ac:dyDescent="0.2">
      <c r="A13" s="28">
        <v>5</v>
      </c>
      <c r="B13" s="23" t="s">
        <v>34</v>
      </c>
      <c r="C13" s="87" t="s">
        <v>46</v>
      </c>
      <c r="D13" s="88">
        <v>300</v>
      </c>
      <c r="E13" s="89">
        <v>0.1</v>
      </c>
      <c r="F13" s="88">
        <f t="shared" si="0"/>
        <v>330</v>
      </c>
      <c r="G13" s="23" t="s">
        <v>36</v>
      </c>
      <c r="H13" s="90">
        <v>4</v>
      </c>
      <c r="I13" s="91">
        <f>H13*F13</f>
        <v>1320</v>
      </c>
      <c r="J13" s="93" t="s">
        <v>47</v>
      </c>
      <c r="K13" s="23" t="s">
        <v>48</v>
      </c>
      <c r="L13" s="80">
        <v>1200</v>
      </c>
      <c r="M13" s="94"/>
      <c r="N13" s="95">
        <f>150*2</f>
        <v>300</v>
      </c>
    </row>
    <row r="14" spans="1:16" s="95" customFormat="1" x14ac:dyDescent="0.2">
      <c r="A14" s="28">
        <v>6</v>
      </c>
      <c r="B14" s="23" t="s">
        <v>49</v>
      </c>
      <c r="C14" s="87" t="s">
        <v>50</v>
      </c>
      <c r="D14" s="88">
        <v>14740</v>
      </c>
      <c r="E14" s="89">
        <v>0.1</v>
      </c>
      <c r="F14" s="88">
        <f t="shared" si="0"/>
        <v>16214.000000000002</v>
      </c>
      <c r="G14" s="23" t="s">
        <v>36</v>
      </c>
      <c r="H14" s="90">
        <v>4</v>
      </c>
      <c r="I14" s="91">
        <f>H14*F14</f>
        <v>64856.000000000007</v>
      </c>
      <c r="J14" s="64" t="s">
        <v>51</v>
      </c>
      <c r="K14" s="23" t="s">
        <v>52</v>
      </c>
      <c r="L14" s="80">
        <f>2670-325</f>
        <v>2345</v>
      </c>
      <c r="M14" s="80">
        <v>325</v>
      </c>
      <c r="N14" s="95">
        <f>SUM(N9:N13)+L13</f>
        <v>14740</v>
      </c>
      <c r="O14" s="95">
        <f>SUM(L9:M10)*2+L13+SUM(L14:M14)+L15*2+SUM(L17:M17)+L12*2</f>
        <v>14740</v>
      </c>
      <c r="P14" s="95">
        <f>N14-O14</f>
        <v>0</v>
      </c>
    </row>
    <row r="15" spans="1:16" s="95" customFormat="1" x14ac:dyDescent="0.2">
      <c r="A15" s="28">
        <v>7</v>
      </c>
      <c r="B15" s="23" t="s">
        <v>53</v>
      </c>
      <c r="C15" s="87" t="s">
        <v>54</v>
      </c>
      <c r="D15" s="88">
        <v>5750</v>
      </c>
      <c r="E15" s="89">
        <v>0.1</v>
      </c>
      <c r="F15" s="88">
        <f t="shared" si="0"/>
        <v>6325.0000000000009</v>
      </c>
      <c r="G15" s="23" t="s">
        <v>36</v>
      </c>
      <c r="H15" s="90">
        <v>2.5</v>
      </c>
      <c r="I15" s="91">
        <f>H15*F15</f>
        <v>15812.500000000002</v>
      </c>
      <c r="J15" s="64" t="s">
        <v>55</v>
      </c>
      <c r="K15" s="23" t="s">
        <v>47</v>
      </c>
      <c r="L15" s="80">
        <v>150</v>
      </c>
      <c r="M15" s="94"/>
      <c r="N15" s="95">
        <f>SUM(L9:M10)+SUM(L14:M15)</f>
        <v>5750</v>
      </c>
    </row>
    <row r="16" spans="1:16" s="95" customFormat="1" x14ac:dyDescent="0.2">
      <c r="A16" s="28">
        <v>8</v>
      </c>
      <c r="B16" s="23" t="s">
        <v>56</v>
      </c>
      <c r="C16" s="87" t="s">
        <v>57</v>
      </c>
      <c r="D16" s="96">
        <v>290</v>
      </c>
      <c r="E16" s="89">
        <v>0.1</v>
      </c>
      <c r="F16" s="88">
        <f t="shared" si="0"/>
        <v>319</v>
      </c>
      <c r="G16" s="23" t="s">
        <v>36</v>
      </c>
      <c r="H16" s="90">
        <v>2</v>
      </c>
      <c r="I16" s="91">
        <f t="shared" si="1"/>
        <v>638</v>
      </c>
      <c r="J16" s="64" t="s">
        <v>45</v>
      </c>
      <c r="K16" s="23" t="s">
        <v>58</v>
      </c>
      <c r="L16" s="80">
        <v>20</v>
      </c>
      <c r="M16" s="94"/>
    </row>
    <row r="17" spans="1:14" s="95" customFormat="1" x14ac:dyDescent="0.2">
      <c r="A17" s="28">
        <v>8</v>
      </c>
      <c r="B17" s="23" t="s">
        <v>59</v>
      </c>
      <c r="C17" s="87" t="s">
        <v>60</v>
      </c>
      <c r="D17" s="96">
        <v>4130</v>
      </c>
      <c r="E17" s="89">
        <v>0.1</v>
      </c>
      <c r="F17" s="88">
        <f t="shared" si="0"/>
        <v>4543</v>
      </c>
      <c r="G17" s="23" t="s">
        <v>36</v>
      </c>
      <c r="H17" s="90">
        <v>3</v>
      </c>
      <c r="I17" s="91">
        <f>H17*F17</f>
        <v>13629</v>
      </c>
      <c r="J17" s="64"/>
      <c r="K17" s="23" t="s">
        <v>61</v>
      </c>
      <c r="L17" s="80">
        <v>3830</v>
      </c>
      <c r="M17" s="94">
        <v>300</v>
      </c>
      <c r="N17" s="95">
        <f>SUM(L17:M17)</f>
        <v>4130</v>
      </c>
    </row>
    <row r="18" spans="1:14" s="95" customFormat="1" x14ac:dyDescent="0.2">
      <c r="A18" s="28">
        <v>9</v>
      </c>
      <c r="B18" s="23" t="s">
        <v>62</v>
      </c>
      <c r="C18" s="97" t="s">
        <v>63</v>
      </c>
      <c r="D18" s="96">
        <v>5600</v>
      </c>
      <c r="E18" s="89">
        <v>0.05</v>
      </c>
      <c r="F18" s="88">
        <f t="shared" si="0"/>
        <v>5880</v>
      </c>
      <c r="G18" s="23" t="s">
        <v>36</v>
      </c>
      <c r="H18" s="90">
        <v>2</v>
      </c>
      <c r="I18" s="91">
        <f>H18*F18</f>
        <v>11760</v>
      </c>
      <c r="J18" s="64" t="s">
        <v>64</v>
      </c>
      <c r="N18" s="95">
        <f>SUM(L9:M10)+SUM(L14:M14)</f>
        <v>5600</v>
      </c>
    </row>
    <row r="19" spans="1:14" s="95" customFormat="1" x14ac:dyDescent="0.2">
      <c r="A19" s="56">
        <v>10</v>
      </c>
      <c r="B19" s="102" t="s">
        <v>62</v>
      </c>
      <c r="C19" s="98" t="s">
        <v>65</v>
      </c>
      <c r="D19" s="99">
        <v>150</v>
      </c>
      <c r="E19" s="100">
        <v>0.1</v>
      </c>
      <c r="F19" s="101">
        <f t="shared" si="0"/>
        <v>165</v>
      </c>
      <c r="G19" s="102" t="s">
        <v>36</v>
      </c>
      <c r="H19" s="103">
        <v>2.2000000000000002</v>
      </c>
      <c r="I19" s="104">
        <f>H19*F19</f>
        <v>363.00000000000006</v>
      </c>
      <c r="J19" s="64" t="s">
        <v>47</v>
      </c>
      <c r="K19" s="23"/>
      <c r="L19" s="64"/>
      <c r="N19" s="95">
        <v>150</v>
      </c>
    </row>
    <row r="20" spans="1:14" ht="16.5" thickBot="1" x14ac:dyDescent="0.25">
      <c r="C20" s="43"/>
      <c r="D20" s="96"/>
      <c r="E20" s="96"/>
      <c r="F20" s="96"/>
      <c r="H20" s="90"/>
      <c r="I20" s="105"/>
    </row>
    <row r="21" spans="1:14" ht="16.5" thickBot="1" x14ac:dyDescent="0.25">
      <c r="A21" s="55" t="s">
        <v>18</v>
      </c>
      <c r="B21" s="119"/>
      <c r="C21" s="106"/>
      <c r="D21" s="107"/>
      <c r="E21" s="107"/>
      <c r="F21" s="107"/>
      <c r="G21" s="108"/>
      <c r="H21" s="109"/>
      <c r="I21" s="110">
        <f>SUM(I9:I19)</f>
        <v>167605.25000000003</v>
      </c>
    </row>
    <row r="22" spans="1:14" ht="16.5" thickBot="1" x14ac:dyDescent="0.25">
      <c r="A22" s="55" t="s">
        <v>66</v>
      </c>
      <c r="B22" s="119"/>
      <c r="C22" s="106"/>
      <c r="D22" s="107"/>
      <c r="E22" s="107"/>
      <c r="F22" s="107"/>
      <c r="G22" s="108"/>
      <c r="H22" s="109"/>
      <c r="I22" s="111">
        <f>(3/100)*I21</f>
        <v>5028.1575000000003</v>
      </c>
    </row>
    <row r="23" spans="1:14" ht="16.5" thickBot="1" x14ac:dyDescent="0.25">
      <c r="A23" s="55" t="s">
        <v>67</v>
      </c>
      <c r="B23" s="119"/>
      <c r="C23" s="106"/>
      <c r="D23" s="107"/>
      <c r="E23" s="107"/>
      <c r="F23" s="107"/>
      <c r="G23" s="108"/>
      <c r="H23" s="109"/>
      <c r="I23" s="110">
        <f>SUM(I21:I22)</f>
        <v>172633.40750000003</v>
      </c>
    </row>
    <row r="24" spans="1:14" x14ac:dyDescent="0.2">
      <c r="A24" s="57"/>
      <c r="B24" s="57"/>
      <c r="C24" s="64"/>
      <c r="D24" s="112"/>
      <c r="E24" s="112"/>
      <c r="F24" s="112"/>
      <c r="H24" s="113"/>
      <c r="I24" s="114"/>
    </row>
    <row r="25" spans="1:14" x14ac:dyDescent="0.2">
      <c r="C25" s="115" t="s">
        <v>68</v>
      </c>
    </row>
    <row r="26" spans="1:14" x14ac:dyDescent="0.2">
      <c r="B26" s="23">
        <v>1</v>
      </c>
      <c r="C26" s="67" t="s">
        <v>69</v>
      </c>
      <c r="J26" s="116"/>
    </row>
    <row r="27" spans="1:14" x14ac:dyDescent="0.2">
      <c r="B27" s="23">
        <v>2</v>
      </c>
      <c r="C27" s="67" t="s">
        <v>70</v>
      </c>
    </row>
    <row r="28" spans="1:14" x14ac:dyDescent="0.2">
      <c r="B28" s="23">
        <v>3</v>
      </c>
      <c r="C28" s="67" t="s">
        <v>71</v>
      </c>
    </row>
    <row r="29" spans="1:14" x14ac:dyDescent="0.2">
      <c r="B29" s="23">
        <v>4</v>
      </c>
      <c r="C29" s="45" t="s">
        <v>72</v>
      </c>
    </row>
    <row r="30" spans="1:14" x14ac:dyDescent="0.2">
      <c r="B30" s="23">
        <v>5</v>
      </c>
      <c r="C30" s="45" t="s">
        <v>73</v>
      </c>
    </row>
    <row r="31" spans="1:14" ht="31.5" x14ac:dyDescent="0.2">
      <c r="B31" s="23">
        <v>6</v>
      </c>
      <c r="C31" s="45" t="s">
        <v>74</v>
      </c>
    </row>
  </sheetData>
  <mergeCells count="1">
    <mergeCell ref="L7:M7"/>
  </mergeCells>
  <printOptions horizontalCentered="1"/>
  <pageMargins left="0.7" right="0.7" top="0.5" bottom="0.5" header="0.3" footer="0.3"/>
  <pageSetup paperSize="9" scale="1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1"/>
  <sheetViews>
    <sheetView view="pageBreakPreview" zoomScale="85" zoomScaleNormal="85" zoomScaleSheetLayoutView="85" workbookViewId="0">
      <pane ySplit="7" topLeftCell="A14" activePane="bottomLeft" state="frozen"/>
      <selection pane="bottomLeft" activeCell="H19" sqref="H19:J28"/>
    </sheetView>
  </sheetViews>
  <sheetFormatPr defaultColWidth="9.6640625" defaultRowHeight="15.75" x14ac:dyDescent="0.2"/>
  <cols>
    <col min="1" max="1" width="10" style="23" customWidth="1"/>
    <col min="2" max="2" width="27.88671875" style="8" customWidth="1"/>
    <col min="3" max="3" width="10.5546875" style="8" customWidth="1"/>
    <col min="4" max="4" width="8.109375" style="20" customWidth="1"/>
    <col min="5" max="5" width="6.5546875" style="6" customWidth="1"/>
    <col min="6" max="6" width="11.109375" style="7" customWidth="1"/>
    <col min="7" max="7" width="34" style="5" customWidth="1"/>
    <col min="8" max="8" width="12" style="5" customWidth="1"/>
    <col min="9" max="10" width="9.6640625" style="5"/>
    <col min="11" max="11" width="10.6640625" style="5" customWidth="1"/>
    <col min="12" max="12" width="11.77734375" style="5" customWidth="1"/>
    <col min="13" max="13" width="10.6640625" style="5" customWidth="1"/>
    <col min="14" max="16384" width="9.6640625" style="5"/>
  </cols>
  <sheetData>
    <row r="1" spans="1:9" x14ac:dyDescent="0.2">
      <c r="B1" s="1"/>
      <c r="C1" s="2"/>
      <c r="D1" s="3"/>
      <c r="E1" s="3"/>
      <c r="F1" s="4"/>
    </row>
    <row r="2" spans="1:9" x14ac:dyDescent="0.2">
      <c r="B2" s="17" t="s">
        <v>22</v>
      </c>
      <c r="C2" s="1" t="s">
        <v>23</v>
      </c>
      <c r="D2" s="3"/>
      <c r="E2" s="3"/>
      <c r="F2" s="4"/>
    </row>
    <row r="3" spans="1:9" x14ac:dyDescent="0.2">
      <c r="B3" s="17" t="s">
        <v>24</v>
      </c>
      <c r="C3" s="1" t="s">
        <v>75</v>
      </c>
      <c r="D3" s="3"/>
      <c r="E3" s="3"/>
      <c r="F3" s="4"/>
    </row>
    <row r="4" spans="1:9" x14ac:dyDescent="0.2">
      <c r="B4" s="5"/>
      <c r="C4" s="1" t="s">
        <v>76</v>
      </c>
      <c r="D4" s="3"/>
      <c r="E4" s="3"/>
      <c r="F4" s="4"/>
    </row>
    <row r="5" spans="1:9" x14ac:dyDescent="0.2">
      <c r="B5" s="3"/>
      <c r="C5" s="1"/>
      <c r="D5" s="3"/>
    </row>
    <row r="6" spans="1:9" x14ac:dyDescent="0.2">
      <c r="E6" s="9" t="s">
        <v>27</v>
      </c>
      <c r="F6" s="10">
        <f ca="1">TODAY()</f>
        <v>46231</v>
      </c>
    </row>
    <row r="7" spans="1:9" s="11" customFormat="1" x14ac:dyDescent="0.2">
      <c r="A7" s="24" t="s">
        <v>0</v>
      </c>
      <c r="B7" s="25" t="s">
        <v>3</v>
      </c>
      <c r="C7" s="25" t="s">
        <v>29</v>
      </c>
      <c r="D7" s="25" t="s">
        <v>4</v>
      </c>
      <c r="E7" s="26" t="s">
        <v>7</v>
      </c>
      <c r="F7" s="27" t="s">
        <v>8</v>
      </c>
    </row>
    <row r="8" spans="1:9" x14ac:dyDescent="0.2">
      <c r="A8" s="35"/>
      <c r="B8" s="39" t="s">
        <v>31</v>
      </c>
      <c r="C8" s="14"/>
      <c r="D8" s="21"/>
      <c r="E8" s="15"/>
      <c r="F8" s="16"/>
      <c r="H8" s="30"/>
    </row>
    <row r="9" spans="1:9" ht="31.5" x14ac:dyDescent="0.2">
      <c r="A9" s="28">
        <v>1</v>
      </c>
      <c r="B9" s="49" t="s">
        <v>77</v>
      </c>
      <c r="C9" s="38"/>
      <c r="D9" s="40">
        <f>((2358+277+2077)-644)+3830</f>
        <v>7898</v>
      </c>
      <c r="E9" s="6" t="s">
        <v>36</v>
      </c>
      <c r="F9" s="18">
        <f>C9*D9</f>
        <v>0</v>
      </c>
      <c r="G9" s="5" t="s">
        <v>37</v>
      </c>
    </row>
    <row r="10" spans="1:9" ht="31.5" x14ac:dyDescent="0.2">
      <c r="A10" s="28">
        <v>2</v>
      </c>
      <c r="B10" s="31" t="s">
        <v>78</v>
      </c>
      <c r="C10" s="38"/>
      <c r="D10" s="40">
        <f>644+292</f>
        <v>936</v>
      </c>
      <c r="E10" s="6" t="s">
        <v>36</v>
      </c>
      <c r="F10" s="18">
        <f t="shared" ref="F10:F18" si="0">C10*D10</f>
        <v>0</v>
      </c>
      <c r="G10" s="5" t="s">
        <v>40</v>
      </c>
      <c r="I10" s="5" t="s">
        <v>79</v>
      </c>
    </row>
    <row r="11" spans="1:9" ht="31.5" x14ac:dyDescent="0.2">
      <c r="A11" s="28">
        <v>3</v>
      </c>
      <c r="B11" s="31" t="s">
        <v>80</v>
      </c>
      <c r="C11" s="19"/>
      <c r="D11" s="40">
        <f>206-78</f>
        <v>128</v>
      </c>
      <c r="E11" s="6" t="s">
        <v>36</v>
      </c>
      <c r="F11" s="18">
        <f t="shared" si="0"/>
        <v>0</v>
      </c>
      <c r="G11" s="5" t="s">
        <v>41</v>
      </c>
      <c r="I11" s="5" t="s">
        <v>81</v>
      </c>
    </row>
    <row r="12" spans="1:9" ht="47.25" x14ac:dyDescent="0.2">
      <c r="A12" s="28">
        <v>4</v>
      </c>
      <c r="B12" s="48" t="s">
        <v>82</v>
      </c>
      <c r="C12" s="19"/>
      <c r="D12" s="40">
        <v>78</v>
      </c>
      <c r="E12" s="6" t="s">
        <v>36</v>
      </c>
      <c r="F12" s="18">
        <f t="shared" si="0"/>
        <v>0</v>
      </c>
      <c r="G12" s="5" t="s">
        <v>41</v>
      </c>
      <c r="H12" s="34"/>
    </row>
    <row r="13" spans="1:9" s="34" customFormat="1" ht="31.5" x14ac:dyDescent="0.2">
      <c r="A13" s="28">
        <v>5</v>
      </c>
      <c r="B13" s="31" t="s">
        <v>83</v>
      </c>
      <c r="C13" s="33"/>
      <c r="D13" s="40">
        <v>148</v>
      </c>
      <c r="E13" s="6" t="s">
        <v>36</v>
      </c>
      <c r="F13" s="18">
        <f t="shared" si="0"/>
        <v>0</v>
      </c>
      <c r="G13" s="50" t="s">
        <v>47</v>
      </c>
    </row>
    <row r="14" spans="1:9" s="34" customFormat="1" ht="31.5" x14ac:dyDescent="0.2">
      <c r="A14" s="28">
        <v>6</v>
      </c>
      <c r="B14" s="31" t="s">
        <v>50</v>
      </c>
      <c r="C14" s="33"/>
      <c r="D14" s="40">
        <f>2538+206+277+1343+2077+148</f>
        <v>6589</v>
      </c>
      <c r="E14" s="6" t="s">
        <v>36</v>
      </c>
      <c r="F14" s="18">
        <f t="shared" si="0"/>
        <v>0</v>
      </c>
      <c r="G14" s="5" t="s">
        <v>51</v>
      </c>
    </row>
    <row r="15" spans="1:9" s="34" customFormat="1" x14ac:dyDescent="0.2">
      <c r="A15" s="28">
        <v>7</v>
      </c>
      <c r="B15" s="31" t="s">
        <v>84</v>
      </c>
      <c r="C15" s="33"/>
      <c r="D15" s="40">
        <v>4968</v>
      </c>
      <c r="E15" s="6" t="s">
        <v>36</v>
      </c>
      <c r="F15" s="18">
        <f t="shared" si="0"/>
        <v>0</v>
      </c>
      <c r="G15" s="5" t="s">
        <v>55</v>
      </c>
    </row>
    <row r="16" spans="1:9" s="34" customFormat="1" x14ac:dyDescent="0.2">
      <c r="A16" s="28">
        <v>8</v>
      </c>
      <c r="B16" s="31" t="s">
        <v>85</v>
      </c>
      <c r="C16" s="33"/>
      <c r="D16" s="29">
        <v>277</v>
      </c>
      <c r="E16" s="6" t="s">
        <v>36</v>
      </c>
      <c r="F16" s="18">
        <f t="shared" si="0"/>
        <v>0</v>
      </c>
      <c r="G16" s="5" t="s">
        <v>45</v>
      </c>
    </row>
    <row r="17" spans="1:11" s="34" customFormat="1" x14ac:dyDescent="0.2">
      <c r="A17" s="23">
        <v>9</v>
      </c>
      <c r="B17" s="47" t="s">
        <v>86</v>
      </c>
      <c r="C17" s="33"/>
      <c r="D17" s="29">
        <f>2538+206+2077</f>
        <v>4821</v>
      </c>
      <c r="E17" s="6" t="s">
        <v>36</v>
      </c>
      <c r="F17" s="18">
        <f t="shared" si="0"/>
        <v>0</v>
      </c>
      <c r="G17" s="5" t="s">
        <v>64</v>
      </c>
    </row>
    <row r="18" spans="1:11" s="34" customFormat="1" x14ac:dyDescent="0.2">
      <c r="A18" s="23">
        <v>10</v>
      </c>
      <c r="B18" s="47" t="s">
        <v>87</v>
      </c>
      <c r="C18" s="33"/>
      <c r="D18" s="29">
        <v>148</v>
      </c>
      <c r="E18" s="6" t="s">
        <v>36</v>
      </c>
      <c r="F18" s="18">
        <f t="shared" si="0"/>
        <v>0</v>
      </c>
      <c r="G18" s="5" t="s">
        <v>47</v>
      </c>
      <c r="H18" s="54" t="s">
        <v>88</v>
      </c>
    </row>
    <row r="19" spans="1:11" ht="16.5" thickBot="1" x14ac:dyDescent="0.25">
      <c r="B19" s="31"/>
      <c r="C19" s="19"/>
      <c r="D19" s="29"/>
      <c r="F19" s="18"/>
      <c r="H19" s="6" t="s">
        <v>38</v>
      </c>
      <c r="I19" s="30">
        <v>2538</v>
      </c>
      <c r="J19" s="5">
        <v>2520</v>
      </c>
    </row>
    <row r="20" spans="1:11" ht="16.5" thickBot="1" x14ac:dyDescent="0.25">
      <c r="A20" s="36" t="s">
        <v>89</v>
      </c>
      <c r="B20" s="13"/>
      <c r="C20" s="12"/>
      <c r="D20" s="22"/>
      <c r="E20" s="32"/>
      <c r="F20" s="37">
        <f>SUM(F9:F18)</f>
        <v>0</v>
      </c>
      <c r="H20" s="6" t="s">
        <v>41</v>
      </c>
      <c r="I20" s="30">
        <v>205</v>
      </c>
      <c r="J20" s="5">
        <v>206</v>
      </c>
    </row>
    <row r="21" spans="1:11" x14ac:dyDescent="0.2">
      <c r="B21" s="41" t="s">
        <v>68</v>
      </c>
      <c r="H21" s="6" t="s">
        <v>43</v>
      </c>
      <c r="I21" s="30" t="s">
        <v>90</v>
      </c>
    </row>
    <row r="22" spans="1:11" x14ac:dyDescent="0.2">
      <c r="A22" s="23">
        <v>1</v>
      </c>
      <c r="B22" s="8" t="s">
        <v>69</v>
      </c>
      <c r="G22" s="46"/>
      <c r="H22" s="6" t="s">
        <v>45</v>
      </c>
      <c r="I22" s="30">
        <v>277</v>
      </c>
      <c r="J22" s="5">
        <v>290</v>
      </c>
    </row>
    <row r="23" spans="1:11" x14ac:dyDescent="0.2">
      <c r="A23" s="23">
        <v>2</v>
      </c>
      <c r="B23" s="8" t="s">
        <v>70</v>
      </c>
      <c r="H23" s="6" t="s">
        <v>48</v>
      </c>
      <c r="I23" s="30">
        <v>1342</v>
      </c>
      <c r="J23" s="5">
        <v>1200</v>
      </c>
    </row>
    <row r="24" spans="1:11" x14ac:dyDescent="0.2">
      <c r="A24" s="23">
        <v>3</v>
      </c>
      <c r="B24" s="8" t="s">
        <v>71</v>
      </c>
      <c r="H24" s="6" t="s">
        <v>52</v>
      </c>
      <c r="I24" s="30">
        <v>2077</v>
      </c>
      <c r="J24" s="5">
        <v>2670</v>
      </c>
    </row>
    <row r="25" spans="1:11" x14ac:dyDescent="0.2">
      <c r="A25" s="23">
        <v>4</v>
      </c>
      <c r="B25" s="42" t="s">
        <v>72</v>
      </c>
      <c r="H25" s="6" t="s">
        <v>47</v>
      </c>
      <c r="I25" s="30">
        <v>148</v>
      </c>
      <c r="J25" s="5">
        <v>150</v>
      </c>
    </row>
    <row r="26" spans="1:11" x14ac:dyDescent="0.2">
      <c r="A26" s="23">
        <v>5</v>
      </c>
      <c r="B26" s="42" t="s">
        <v>73</v>
      </c>
      <c r="H26" s="6" t="s">
        <v>58</v>
      </c>
      <c r="I26" s="30">
        <v>22</v>
      </c>
      <c r="J26" s="5">
        <v>20</v>
      </c>
      <c r="K26" s="5" t="s">
        <v>91</v>
      </c>
    </row>
    <row r="27" spans="1:11" x14ac:dyDescent="0.2">
      <c r="A27" s="23">
        <v>6</v>
      </c>
      <c r="B27" s="51"/>
      <c r="H27" s="6" t="s">
        <v>61</v>
      </c>
      <c r="I27" s="30">
        <v>3830</v>
      </c>
    </row>
    <row r="28" spans="1:11" x14ac:dyDescent="0.2">
      <c r="B28" s="51"/>
      <c r="H28" s="6" t="s">
        <v>92</v>
      </c>
      <c r="I28" s="30">
        <v>292</v>
      </c>
    </row>
    <row r="29" spans="1:11" x14ac:dyDescent="0.2">
      <c r="B29" s="51"/>
      <c r="H29" s="6"/>
      <c r="I29" s="30"/>
    </row>
    <row r="30" spans="1:11" x14ac:dyDescent="0.2">
      <c r="B30" s="51"/>
      <c r="H30" s="6"/>
      <c r="I30" s="30"/>
    </row>
    <row r="31" spans="1:11" x14ac:dyDescent="0.2">
      <c r="B31" s="51" t="s">
        <v>93</v>
      </c>
      <c r="H31" s="6"/>
      <c r="I31" s="30"/>
    </row>
    <row r="32" spans="1:11" ht="18" customHeight="1" x14ac:dyDescent="0.2">
      <c r="B32" s="41" t="s">
        <v>94</v>
      </c>
      <c r="G32" s="44" t="s">
        <v>95</v>
      </c>
      <c r="H32" s="5" t="s">
        <v>96</v>
      </c>
    </row>
    <row r="33" spans="2:7" ht="173.25" x14ac:dyDescent="0.2">
      <c r="B33" s="8" t="s">
        <v>97</v>
      </c>
      <c r="G33" s="43" t="s">
        <v>98</v>
      </c>
    </row>
    <row r="35" spans="2:7" x14ac:dyDescent="0.2">
      <c r="B35" s="53" t="s">
        <v>99</v>
      </c>
      <c r="G35" s="46" t="s">
        <v>100</v>
      </c>
    </row>
    <row r="36" spans="2:7" ht="189" x14ac:dyDescent="0.2">
      <c r="B36" s="52" t="s">
        <v>101</v>
      </c>
      <c r="G36" s="45" t="s">
        <v>102</v>
      </c>
    </row>
    <row r="38" spans="2:7" x14ac:dyDescent="0.2">
      <c r="B38" s="41" t="s">
        <v>103</v>
      </c>
      <c r="G38" s="46" t="s">
        <v>104</v>
      </c>
    </row>
    <row r="39" spans="2:7" ht="94.5" x14ac:dyDescent="0.2">
      <c r="B39" s="8" t="s">
        <v>105</v>
      </c>
      <c r="G39" s="42" t="s">
        <v>106</v>
      </c>
    </row>
    <row r="40" spans="2:7" ht="31.5" x14ac:dyDescent="0.2">
      <c r="B40" s="41" t="s">
        <v>107</v>
      </c>
    </row>
    <row r="41" spans="2:7" ht="141.75" x14ac:dyDescent="0.2">
      <c r="B41" s="8" t="s">
        <v>108</v>
      </c>
    </row>
  </sheetData>
  <printOptions horizontalCentered="1"/>
  <pageMargins left="0.7" right="0.7" top="0.5" bottom="0.5" header="0.3" footer="0.3"/>
  <pageSetup paperSize="9"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d = " h t t p : / / w w w . w 3 . o r g / 2 0 0 1 / X M L S c h e m a "   x m l n s : x s i = " h t t p : / / w w w . w 3 . o r g / 2 0 0 1 / X M L S c h e m a - i n s t a n c e " > < T o k e n s / > < / S w i f t T o k e n s > 
</file>

<file path=customXml/itemProps1.xml><?xml version="1.0" encoding="utf-8"?>
<ds:datastoreItem xmlns:ds="http://schemas.openxmlformats.org/officeDocument/2006/customXml" ds:itemID="{8239EA52-7F88-4CA8-97C9-063839511F01}">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ESTIMATE</vt:lpstr>
      <vt:lpstr>UJ</vt:lpstr>
      <vt:lpstr>DETAIL (2)</vt:lpstr>
      <vt:lpstr>'DETAIL (2)'!Print_Area</vt:lpstr>
      <vt:lpstr>ESTIMATE!Print_Area</vt:lpstr>
      <vt:lpstr>UJ!Print_Area</vt:lpstr>
      <vt:lpstr>'DETAIL (2)'!Print_Titles</vt:lpstr>
      <vt:lpstr>UJ!Print_Titles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2013-07-08T09:36:48Z</dcterms:created>
  <dcterms:modified xsi:type="dcterms:W3CDTF">2026-07-28T11:11:45Z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y fmtid="{D5CDD505-2E9C-101B-9397-08002B2CF9AE}" pid="3" name="PlanSwiftJobName">
    <vt:lpwstr/>
  </property>
  <property fmtid="{D5CDD505-2E9C-101B-9397-08002B2CF9AE}" pid="4" name="PlanSwiftJobGuid">
    <vt:lpwstr/>
  </property>
  <property fmtid="{D5CDD505-2E9C-101B-9397-08002B2CF9AE}" pid="5" name="LinkedDataId">
    <vt:lpwstr>{8239EA52-7F88-4CA8-97C9-063839511F01}</vt:lpwstr>
  </property>
</Properties>
</file>